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localSheetId="1" hidden="1">'Marketable'!#REF!</definedName>
    <definedName name="_Order1" localSheetId="5" hidden="1">255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localSheetId="1" hidden="1">'Marketable'!#REF!</definedName>
    <definedName name="ACwvu.page10." localSheetId="4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5">'Footnotes'!$A$1:$M$77</definedName>
    <definedName name="_xlnm.Print_Area" localSheetId="3">'GAS'!$A$1:$M$286</definedName>
    <definedName name="_xlnm.Print_Area" localSheetId="1">'Marketable'!$A$1:$P$340</definedName>
    <definedName name="_xlnm.Print_Area" localSheetId="2">'Nonmarketable'!$A$1:$P$79</definedName>
    <definedName name="_xlnm.Print_Area" localSheetId="4">'TableIV'!$A$1:$J$181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4" hidden="1">'TableIV'!$1:$12</definedName>
    <definedName name="TOTALROW1">#REF!</definedName>
    <definedName name="TOTALROW3">#REF!</definedName>
    <definedName name="TOTALS_GDEBT">'TableIV'!$K$6:$K$11</definedName>
    <definedName name="TOTALS_MSPD2">'GAS'!$H$69:$I$279</definedName>
    <definedName name="TOTALS_MSPD2A">'GAS'!$I$259:$L$279</definedName>
    <definedName name="TOTALS_PAGE2">'Marketable'!$K$8:$P$201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4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5" hidden="1">'Footnotes'!$A$1:$M$73</definedName>
    <definedName name="Z_299E6BA2_5C55_11D3_95FC_00C04F98DD55_.wvu.PrintArea" localSheetId="3" hidden="1">'GAS'!$A$1:$M$279</definedName>
    <definedName name="Z_299E6BA2_5C55_11D3_95FC_00C04F98DD55_.wvu.PrintArea" localSheetId="1" hidden="1">'Marketable'!$A$1:$P$340</definedName>
    <definedName name="Z_299E6BA2_5C55_11D3_95FC_00C04F98DD55_.wvu.PrintArea" localSheetId="4" hidden="1">'TableIV'!$A$1:$J$182</definedName>
    <definedName name="Z_299E6BA2_5C55_11D3_95FC_00C04F98DD55_.wvu.Rows" localSheetId="3" hidden="1">'GAS'!#REF!</definedName>
    <definedName name="Z_299E6BA2_5C55_11D3_95FC_00C04F98DD55_.wvu.Rows" localSheetId="1" hidden="1">'Marketable'!$177:$177</definedName>
    <definedName name="Z_F8F97401_998A_11D2_AE2A_00C04F98DCD3_.wvu.PrintArea" localSheetId="4" hidden="1">'TableIV'!$A$1:$J$172</definedName>
    <definedName name="Z_FDA6B625_998F_11D2_AE2A_00C04F98DCD3_.wvu.PrintArea" localSheetId="4" hidden="1">'TableIV'!$A$1:$J$172</definedName>
  </definedNames>
  <calcPr fullCalcOnLoad="1"/>
</workbook>
</file>

<file path=xl/sharedStrings.xml><?xml version="1.0" encoding="utf-8"?>
<sst xmlns="http://schemas.openxmlformats.org/spreadsheetml/2006/main" count="2035" uniqueCount="876">
  <si>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</si>
  <si>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MK4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</si>
  <si>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</si>
  <si>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</si>
  <si>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</si>
  <si>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</si>
  <si>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</si>
  <si>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</si>
  <si>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</si>
  <si>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>German Democratic Republic Settlement Fund.........................................................................................................</t>
  </si>
  <si>
    <t>Federal Supplementary Medical Insurance Trust Fund............................................................................................................................................................…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</si>
  <si>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</si>
  <si>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912828  AD2</t>
  </si>
  <si>
    <t>912827  Q88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</si>
  <si>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</si>
  <si>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for the Humanities..................................................................................................................</t>
  </si>
  <si>
    <t>Gifts and Donations, National Endowment of the Arts..................................................................................................................</t>
  </si>
  <si>
    <t>GH4</t>
  </si>
  <si>
    <t>Guarantees of Mortgage-Backed Securities Fund, Government National</t>
  </si>
  <si>
    <t>BW2</t>
  </si>
  <si>
    <t>DQ7</t>
  </si>
  <si>
    <t>Harbor Maintenance Trust Fund............................................................................................................................................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</si>
  <si>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</si>
  <si>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</si>
  <si>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</si>
  <si>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</si>
  <si>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</si>
  <si>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</si>
  <si>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National Credit Union Share Insurance Fund..................................................................................................................................................…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</si>
  <si>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</si>
  <si>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National Institutes of Health Unconditional Gift Fund...............................................................................................…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</si>
  <si>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</si>
  <si>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</si>
  <si>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</si>
  <si>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</si>
  <si>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</si>
  <si>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</si>
  <si>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</si>
  <si>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</si>
  <si>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</si>
  <si>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</si>
  <si>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</si>
  <si>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</si>
  <si>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</si>
  <si>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</si>
  <si>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</si>
  <si>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</si>
  <si>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</si>
  <si>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John C. Stennis Center for Public Service Training and Development.................................................................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</si>
  <si>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</si>
  <si>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</si>
  <si>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</si>
  <si>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912810  DC9</t>
  </si>
  <si>
    <t>MP3</t>
  </si>
  <si>
    <t>MN8</t>
  </si>
  <si>
    <t>MM0</t>
  </si>
  <si>
    <t>ML2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</si>
  <si>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</si>
  <si>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</si>
  <si>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</si>
  <si>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</si>
  <si>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</si>
  <si>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</si>
  <si>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</si>
  <si>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</si>
  <si>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</si>
  <si>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7C0</t>
  </si>
  <si>
    <t>Morris K. Udall Scholarship and Excellence in National Environmental</t>
  </si>
  <si>
    <t>Natural Resource Damage Assessment and Restoration Fund, U.S. Fish</t>
  </si>
  <si>
    <t>Aviation Insurance Revolving Fund..................................................................................................................................…</t>
  </si>
  <si>
    <t>7K2</t>
  </si>
  <si>
    <t>07/31-01/31</t>
  </si>
  <si>
    <t>7J5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</si>
  <si>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</si>
  <si>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GU5</t>
  </si>
  <si>
    <t>GT8</t>
  </si>
  <si>
    <t>Nuclear Waste Disposal Fund, Department of Energy..............................................................................................................................</t>
  </si>
  <si>
    <t>Oil Spill Liability Trust Fund.............................................................................................................................................</t>
  </si>
  <si>
    <t>6X5</t>
  </si>
  <si>
    <t>Oliver Wendell Holmes Devise Fund, Library of Congress.........................................................................................</t>
  </si>
  <si>
    <t>Operating Fund, National Credit Union Administration.........................................................................................</t>
  </si>
  <si>
    <t>Overseas Private Investment Corporation, Insurance and Equity Non Credit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</si>
  <si>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</si>
  <si>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</si>
  <si>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7A4</t>
  </si>
  <si>
    <t>GK7</t>
  </si>
  <si>
    <t>GJ0</t>
  </si>
  <si>
    <t>6Z0</t>
  </si>
  <si>
    <t>912828  AQ3</t>
  </si>
  <si>
    <t>AR1</t>
  </si>
  <si>
    <t>912827  S86</t>
  </si>
  <si>
    <t>1-3/4</t>
  </si>
  <si>
    <t>HM2</t>
  </si>
  <si>
    <t>HN0</t>
  </si>
  <si>
    <t>MQ1</t>
  </si>
  <si>
    <t>MR9</t>
  </si>
  <si>
    <t>MS7</t>
  </si>
  <si>
    <t>MT5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</si>
  <si>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</si>
  <si>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</si>
  <si>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6U1</t>
  </si>
  <si>
    <t>GD3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</si>
  <si>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</si>
  <si>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</si>
  <si>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</si>
  <si>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</si>
  <si>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</si>
  <si>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</si>
  <si>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</si>
  <si>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</si>
  <si>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912795  LX7</t>
  </si>
  <si>
    <t>912827  J78</t>
  </si>
  <si>
    <t>NB3</t>
  </si>
  <si>
    <t>NC1</t>
  </si>
  <si>
    <t>ND9</t>
  </si>
  <si>
    <t>NE7</t>
  </si>
  <si>
    <t>NF4</t>
  </si>
  <si>
    <t>1-5/8</t>
  </si>
  <si>
    <t>AS9</t>
  </si>
  <si>
    <t>HP5</t>
  </si>
  <si>
    <t xml:space="preserve">  AS9</t>
  </si>
  <si>
    <t>Jan. 31, 2002</t>
  </si>
  <si>
    <t>Jan. 31, 2003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</si>
  <si>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</si>
  <si>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</si>
  <si>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</si>
  <si>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Perishable Agricultural Commodities Act, Agricultural Marketing Service..........................................................................................................................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</si>
  <si>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</si>
  <si>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</si>
  <si>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Total Public Debt Outstanding.......……………………………………..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</si>
  <si>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</si>
  <si>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</si>
  <si>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</si>
  <si>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 xml:space="preserve"> 7M8</t>
  </si>
  <si>
    <t>7M8</t>
  </si>
  <si>
    <t>GW1</t>
  </si>
  <si>
    <t>7L0</t>
  </si>
  <si>
    <t>4-7/8</t>
  </si>
  <si>
    <t>GV3</t>
  </si>
  <si>
    <t>Uranium Enrichment and Decommissioning Fund, Department of Energy.........................................................................................................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</si>
  <si>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</si>
  <si>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</si>
  <si>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</si>
  <si>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</si>
  <si>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AM2</t>
  </si>
  <si>
    <t>HJ9</t>
  </si>
  <si>
    <t>Vaccine Injury Compensation Trust Fund....................................................................................................................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</si>
  <si>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</si>
  <si>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</si>
  <si>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</si>
  <si>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</si>
  <si>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</si>
  <si>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</si>
  <si>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</si>
  <si>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</si>
  <si>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</si>
  <si>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</si>
  <si>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</si>
  <si>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</si>
  <si>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</si>
  <si>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</si>
  <si>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</si>
  <si>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</si>
  <si>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National and Federal Reserve Bank Notes assumed by the United States on deposit of lawful money for their retirement ...........................................................................................</t>
  </si>
  <si>
    <t xml:space="preserve"> 3Z3</t>
  </si>
  <si>
    <t>4B5</t>
  </si>
  <si>
    <t>4D1</t>
  </si>
  <si>
    <t>4H2</t>
  </si>
  <si>
    <t>4K5</t>
  </si>
  <si>
    <t>L83</t>
  </si>
  <si>
    <t xml:space="preserve"> 4N9</t>
  </si>
  <si>
    <t>4U3</t>
  </si>
  <si>
    <t>N81</t>
  </si>
  <si>
    <t>5F5</t>
  </si>
  <si>
    <t>5M0</t>
  </si>
  <si>
    <t>5S7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</si>
  <si>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</si>
  <si>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</si>
  <si>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</si>
  <si>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</si>
  <si>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</si>
  <si>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</si>
  <si>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</si>
  <si>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</si>
  <si>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</si>
  <si>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</si>
  <si>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</si>
  <si>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4F6</t>
  </si>
  <si>
    <t>4V1</t>
  </si>
  <si>
    <t>5G3</t>
  </si>
  <si>
    <t>5N8</t>
  </si>
  <si>
    <t>5Z1</t>
  </si>
  <si>
    <t>6J6</t>
  </si>
  <si>
    <t>DD7</t>
  </si>
  <si>
    <t>CC0</t>
  </si>
  <si>
    <t>DE5</t>
  </si>
  <si>
    <t xml:space="preserve"> CE6</t>
  </si>
  <si>
    <t>DG0</t>
  </si>
  <si>
    <t>CG1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</si>
  <si>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</si>
  <si>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</si>
  <si>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</si>
  <si>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</si>
  <si>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</si>
  <si>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</si>
  <si>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</si>
  <si>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</si>
  <si>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</si>
  <si>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</si>
  <si>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</si>
  <si>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</si>
  <si>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</si>
  <si>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</si>
  <si>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</si>
  <si>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</si>
  <si>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</si>
  <si>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LZ2</t>
  </si>
  <si>
    <t>912828  AH3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</si>
  <si>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</si>
  <si>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</si>
  <si>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</si>
  <si>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</si>
  <si>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</si>
  <si>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</si>
  <si>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</si>
  <si>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</si>
  <si>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</si>
  <si>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</si>
  <si>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</si>
  <si>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</si>
  <si>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</si>
  <si>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</si>
  <si>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</si>
  <si>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</si>
  <si>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</si>
  <si>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</si>
  <si>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</si>
  <si>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</si>
  <si>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</si>
  <si>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</si>
  <si>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</si>
  <si>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</si>
  <si>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</si>
  <si>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</si>
  <si>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</si>
  <si>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</si>
  <si>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</si>
  <si>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</si>
  <si>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</si>
  <si>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</si>
  <si>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</si>
  <si>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</si>
  <si>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</si>
  <si>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</si>
  <si>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</si>
  <si>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</si>
  <si>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5W8</t>
  </si>
  <si>
    <t>912810 FD5</t>
  </si>
  <si>
    <t>FH6</t>
  </si>
  <si>
    <t xml:space="preserve">* 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</si>
  <si>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</si>
  <si>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</si>
  <si>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</si>
  <si>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</si>
  <si>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</si>
  <si>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</si>
  <si>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</si>
  <si>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</si>
  <si>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</si>
  <si>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3Z3</t>
  </si>
  <si>
    <t>4N9</t>
  </si>
  <si>
    <t>5A6</t>
  </si>
  <si>
    <t>FX0</t>
  </si>
  <si>
    <t>CK7</t>
  </si>
  <si>
    <t xml:space="preserve">  5A6</t>
  </si>
  <si>
    <t xml:space="preserve">   Housing and Urban Development............................................................................................................................................................…</t>
  </si>
  <si>
    <t>7H9</t>
  </si>
  <si>
    <t>3-1/4</t>
  </si>
  <si>
    <t>GS0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</si>
  <si>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</si>
  <si>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</si>
  <si>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Inflation-Indexed Notes..................................................................................…</t>
  </si>
  <si>
    <t>Inflation-Indexed Bonds..................................................................................…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</si>
  <si>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</si>
  <si>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</si>
  <si>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</si>
  <si>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</si>
  <si>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</si>
  <si>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</si>
  <si>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Assessment Funds, Office of the Comptroller of the Currency...........................................................………….......................</t>
  </si>
  <si>
    <t>United States Savings Securities..................................................................................…</t>
  </si>
  <si>
    <t>Government Account Series..................................................................................…</t>
  </si>
  <si>
    <t>GM3</t>
  </si>
  <si>
    <t>Other..................................................................................…</t>
  </si>
  <si>
    <t>December 2002</t>
  </si>
  <si>
    <t>Reregistration and Expedited Processing Fund, Environmental Protection Age...........…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</si>
  <si>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</si>
  <si>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</si>
  <si>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</si>
  <si>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</si>
  <si>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</si>
  <si>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</si>
  <si>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</si>
  <si>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</si>
  <si>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MA6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</si>
  <si>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</si>
  <si>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</si>
  <si>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</si>
  <si>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</si>
  <si>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</si>
  <si>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</si>
  <si>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</si>
  <si>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</si>
  <si>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</si>
  <si>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</si>
  <si>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</si>
  <si>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</si>
  <si>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Reconstituted</t>
  </si>
  <si>
    <t>Individual Indian Money, Bureau of Indian Affairs.....................................................................................................................................…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</si>
  <si>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</si>
  <si>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</si>
  <si>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</si>
  <si>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</si>
  <si>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</si>
  <si>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</si>
  <si>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</si>
  <si>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</si>
  <si>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</si>
  <si>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</si>
  <si>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</si>
  <si>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</si>
  <si>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</si>
  <si>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</si>
  <si>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</si>
  <si>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</si>
  <si>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</si>
  <si>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</si>
  <si>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</si>
  <si>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</si>
  <si>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</si>
  <si>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</si>
  <si>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</si>
  <si>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</si>
  <si>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</si>
  <si>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</si>
  <si>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</si>
  <si>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</si>
  <si>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</si>
  <si>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</si>
  <si>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</si>
  <si>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</si>
  <si>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</si>
  <si>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</si>
  <si>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</si>
  <si>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</si>
  <si>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Bequests and Gifts, Disaster Relief, Funds Appropriated to the President......................................................................................................................................................…</t>
  </si>
  <si>
    <t>FHA - Liquidating Account, Housing and Urban Development.......................................................................................................................................................…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</si>
  <si>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</si>
  <si>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</si>
  <si>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</si>
  <si>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</si>
  <si>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</si>
  <si>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</si>
  <si>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</si>
  <si>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</si>
  <si>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</si>
  <si>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</si>
  <si>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</si>
  <si>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</si>
  <si>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</si>
  <si>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</si>
  <si>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</si>
  <si>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</si>
  <si>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</si>
  <si>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</si>
  <si>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</si>
  <si>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</si>
  <si>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</si>
  <si>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</si>
  <si>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</si>
  <si>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</si>
  <si>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</si>
  <si>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</si>
  <si>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</si>
  <si>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</si>
  <si>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</si>
  <si>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</si>
  <si>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</si>
  <si>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</si>
  <si>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</si>
  <si>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</si>
  <si>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</si>
  <si>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</si>
  <si>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</si>
  <si>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</si>
  <si>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</si>
  <si>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</si>
  <si>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</si>
  <si>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</si>
  <si>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</si>
  <si>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</si>
  <si>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</si>
  <si>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</si>
  <si>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</si>
  <si>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Belize Escrow, Debt Reduction, Treasury.........................................................................................................................…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</si>
  <si>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</si>
  <si>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</si>
  <si>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</si>
  <si>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912810  FD5</t>
  </si>
  <si>
    <t>District of Columbia Pension Liability Trust Fund.............................................................................................................................................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</si>
  <si>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</si>
  <si>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</si>
  <si>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>Redeemable at option of United States on and after dates indicated, unless otherwise shown, but only on interest dates on 4 months' notice.</t>
  </si>
  <si>
    <t>Redeemable on demand.</t>
  </si>
  <si>
    <t>6Y3</t>
  </si>
  <si>
    <t xml:space="preserve">  FG8</t>
  </si>
  <si>
    <t xml:space="preserve">  FB9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</si>
  <si>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</si>
  <si>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</si>
  <si>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Redeemable after 6 months from issue date at option of owner.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</si>
  <si>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</si>
  <si>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</si>
  <si>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after, bonds presented for payment prior to age 59-1/2 years carry a penalty except in case of death or disability or upon "roll-over" to other authorized investments.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</si>
  <si>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</si>
  <si>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</si>
  <si>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</si>
  <si>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irretrievably lost.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</si>
  <si>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</si>
  <si>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</si>
  <si>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</si>
  <si>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</si>
  <si>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</si>
  <si>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</si>
  <si>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</si>
  <si>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</si>
  <si>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</si>
  <si>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</si>
  <si>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</si>
  <si>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</si>
  <si>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</si>
  <si>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</si>
  <si>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</si>
  <si>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</si>
  <si>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</si>
  <si>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</si>
  <si>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</si>
  <si>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</si>
  <si>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</si>
  <si>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</si>
  <si>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The difference between the price paid for a Treasury Bill and the amount received at redemption upon maturity is treated as ordinary income.  If the bill is</t>
  </si>
  <si>
    <t>Expenses and Refunds, Inspection and Grading of Farm Products, Agricultural</t>
  </si>
  <si>
    <t xml:space="preserve">   Marketing Service.....................................................................................................................................................................................................................……</t>
  </si>
  <si>
    <t xml:space="preserve">  EZ7</t>
  </si>
  <si>
    <t>Marketing Services, Agricultural Marketing Service..................................................................................................................................................…</t>
  </si>
  <si>
    <t xml:space="preserve">  4B5</t>
  </si>
  <si>
    <t xml:space="preserve"> 912810  FF0</t>
  </si>
  <si>
    <t>Russian Leadership Development Trust Fund...........................................................................................…….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</si>
  <si>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</si>
  <si>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</si>
  <si>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</si>
  <si>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6V9</t>
  </si>
  <si>
    <t>6W7</t>
  </si>
  <si>
    <t>4</t>
  </si>
  <si>
    <t xml:space="preserve"> Income derived from these securities is subject to all taxes now or hereafter imposed under the Internal Revenue Code of 1986, as amended.</t>
  </si>
  <si>
    <t>e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</si>
  <si>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</si>
  <si>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Government Account Series - Intragovernmental Holdings.......................................................................................................................................................................……………………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</si>
  <si>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</si>
  <si>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</si>
  <si>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</si>
  <si>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</si>
  <si>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</si>
  <si>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Zero-coupon Treasury bond.......................…</t>
  </si>
  <si>
    <t>Bills 07/10/03........................................…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</si>
  <si>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</si>
  <si>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</si>
  <si>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</si>
  <si>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</si>
  <si>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</si>
  <si>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</si>
  <si>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</si>
  <si>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</si>
  <si>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</si>
  <si>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The subscription price is $42.00 per year (domestic), $58.50 per year (foreign).  No single copies are sold.</t>
  </si>
  <si>
    <t>Total Unmatured Treasury Notes...............................................................................…</t>
  </si>
  <si>
    <t>Total Matured Treasury Notes...............................................................................…</t>
  </si>
  <si>
    <t>Total Treasury Notes...............................................................................…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</si>
  <si>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</si>
  <si>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</si>
  <si>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Total Treasury Bonds...............................................................................…</t>
  </si>
  <si>
    <t>Total Treasury Inflation-Indexed Notes...............................................................................…</t>
  </si>
  <si>
    <t>Total Treasury Inflation-Indexed Bonds...............................................................................…</t>
  </si>
  <si>
    <t>Total Marketable...............................................................................…</t>
  </si>
  <si>
    <t>Total United States Savings Securities...............................................................................…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</si>
  <si>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</si>
  <si>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Federal Ship Financing Escrow Fund, Maritime Administration...............................................................................…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</si>
  <si>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</si>
  <si>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</si>
  <si>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</si>
  <si>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</si>
  <si>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</si>
  <si>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Thrift Savings Fund, Federal Retirement Thrift Investment Board...............................................................................…</t>
  </si>
  <si>
    <t>Treasury Deposit Funds.................................................................................................................................................................…</t>
  </si>
  <si>
    <t xml:space="preserve"> AB6</t>
  </si>
  <si>
    <t>10/31-04/30</t>
  </si>
  <si>
    <t>09/30-03/31</t>
  </si>
  <si>
    <t>Unearned Copyright Fees, Library Of Congress.................................................................................................................................................................…</t>
  </si>
  <si>
    <t>Wage and Hour and Public Contracts Restitution Fund, Labor...............................................................................…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</si>
  <si>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</si>
  <si>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 xml:space="preserve">    General Hospital.................................................................................................................................................................…</t>
  </si>
  <si>
    <t>Panama Canal Commission Dissolution Fund......................................................................................................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</si>
  <si>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</si>
  <si>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</si>
  <si>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</si>
  <si>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matured debt of $120 million.</t>
  </si>
  <si>
    <t>matured debt of $9,890 million.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</si>
  <si>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</si>
  <si>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</si>
  <si>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</si>
  <si>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</si>
  <si>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</si>
  <si>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</si>
  <si>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</si>
  <si>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</si>
  <si>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National Gift Fund, National Archives and Records Administration...............................................................…</t>
  </si>
  <si>
    <t>MJ7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</si>
  <si>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</si>
  <si>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</si>
  <si>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</si>
  <si>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</si>
  <si>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</si>
  <si>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</si>
  <si>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</si>
  <si>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</si>
  <si>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</si>
  <si>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</si>
  <si>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</si>
  <si>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</si>
  <si>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t>JANUARY 31, 2003</t>
  </si>
  <si>
    <t>TABLE I -- SUMMARY OF TREASURY SECURITIES OUTSTANDING, JANUARY 31, 2003</t>
  </si>
  <si>
    <t>TABLE II -- STATUTORY DEBT LIMIT, JANUARY 31, 2003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</si>
  <si>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JANUARY 31, 2003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</si>
  <si>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JANUARY 31, 2003 -- Continued</t>
    </r>
  </si>
  <si>
    <t>TABLE IV - HISTORICAL DATA, JANUARY 31, 2003</t>
  </si>
  <si>
    <t>TABLE V - HOLDINGS OF TREASURY SECURITIES IN STRIPPED FORM, JANUARY 31, 2003</t>
  </si>
  <si>
    <t>TABLE V - HOLDINGS OF TREASURY SECURITIES IN STRIPPED FORM, JANUARY 31, 2003 -- Continued</t>
  </si>
  <si>
    <t>MONTHLY STATEMENT OF THE PUBLIC DEBT OF THE UNITED STATES JANUARY 31, 2003 - FOOTNOTES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</si>
  <si>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</si>
  <si>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Marketable, Treasury Bonds--Continued:</t>
  </si>
  <si>
    <t>.</t>
  </si>
  <si>
    <t>auctions 13-, 26- and 52- week bills.</t>
  </si>
  <si>
    <t>Marketable, Treasury Bonds:</t>
  </si>
  <si>
    <t>Preservation, Birthplace of Abraham Lincoln, National Park Service......................................................................................…</t>
  </si>
  <si>
    <t>Prison Industries Fund, Department of Justice......................................................................................................................…</t>
  </si>
  <si>
    <t>HA8</t>
  </si>
  <si>
    <t>Not Subject to the Statutory Debt Limit:</t>
  </si>
  <si>
    <t>MATURITIES:</t>
  </si>
  <si>
    <t>f</t>
  </si>
  <si>
    <t>Sept. 30, 2001</t>
  </si>
  <si>
    <t>Sept. 30, 2000</t>
  </si>
  <si>
    <r>
      <t>Sept. 30, 1999</t>
    </r>
    <r>
      <rPr>
        <vertAlign val="superscript"/>
        <sz val="12"/>
        <rFont val="Arial"/>
        <family val="2"/>
      </rPr>
      <t>†</t>
    </r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</si>
  <si>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</si>
  <si>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</si>
  <si>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</si>
  <si>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</si>
  <si>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</si>
  <si>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</si>
  <si>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</si>
  <si>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</si>
  <si>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</si>
  <si>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</si>
  <si>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</si>
  <si>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</si>
  <si>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</si>
  <si>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</si>
  <si>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</si>
  <si>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</si>
  <si>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</si>
  <si>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</si>
  <si>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</si>
  <si>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</si>
  <si>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</si>
  <si>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</si>
  <si>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</si>
  <si>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</si>
  <si>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</si>
  <si>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</si>
  <si>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</si>
  <si>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</si>
  <si>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</si>
  <si>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</si>
  <si>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</si>
  <si>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</si>
  <si>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</si>
  <si>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</si>
  <si>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02/15-08/15</t>
  </si>
  <si>
    <t>W</t>
  </si>
  <si>
    <t>K</t>
  </si>
  <si>
    <t>5-1/2</t>
  </si>
  <si>
    <t>02/28-08/31</t>
  </si>
  <si>
    <t>L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</si>
  <si>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</si>
  <si>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</si>
  <si>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</si>
  <si>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</si>
  <si>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</si>
  <si>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</si>
  <si>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</si>
  <si>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</si>
  <si>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</si>
  <si>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</si>
  <si>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</si>
  <si>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X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</si>
  <si>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</si>
  <si>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</si>
  <si>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</si>
  <si>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</si>
  <si>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</si>
  <si>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</si>
  <si>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</si>
  <si>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</si>
  <si>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</si>
  <si>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</si>
  <si>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</si>
  <si>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</si>
  <si>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</si>
  <si>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</si>
  <si>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</si>
  <si>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</si>
  <si>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</si>
  <si>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</si>
  <si>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</si>
  <si>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</si>
  <si>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</si>
  <si>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</si>
  <si>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</si>
  <si>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</si>
  <si>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</si>
  <si>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</si>
  <si>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</si>
  <si>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</si>
  <si>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</si>
  <si>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</si>
  <si>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</si>
  <si>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</si>
  <si>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</si>
  <si>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8-3/8</t>
  </si>
  <si>
    <t>11-1/8</t>
  </si>
  <si>
    <t>11-7/8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</si>
  <si>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</si>
  <si>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</si>
  <si>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</si>
  <si>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</si>
  <si>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</si>
  <si>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</si>
  <si>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</si>
  <si>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</si>
  <si>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</si>
  <si>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</si>
  <si>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</si>
  <si>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</si>
  <si>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</si>
  <si>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9-7/8</t>
  </si>
  <si>
    <t>9-1/4</t>
  </si>
  <si>
    <t>9</t>
  </si>
  <si>
    <t xml:space="preserve">  L83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</si>
  <si>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</si>
  <si>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</si>
  <si>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</si>
  <si>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</si>
  <si>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</si>
  <si>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</si>
  <si>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</si>
  <si>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</si>
  <si>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</si>
  <si>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Domestic Series: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</si>
  <si>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</si>
  <si>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</si>
  <si>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</si>
  <si>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6R8</t>
  </si>
  <si>
    <t>3-1/2</t>
  </si>
  <si>
    <t>Total Domestic Series....................................................</t>
  </si>
  <si>
    <t>Foreign Series:</t>
  </si>
  <si>
    <t>d</t>
  </si>
  <si>
    <t xml:space="preserve"> 6Y3</t>
  </si>
  <si>
    <t>Zero-coupon Treasury bond....................................</t>
  </si>
  <si>
    <t>Inspection and Grading of Fishery Products, Department of Commerce....................................................................................................................................…</t>
  </si>
  <si>
    <t xml:space="preserve">Fishermen's Contingency Fund, National Oceanic and Atmospheric </t>
  </si>
  <si>
    <t xml:space="preserve">   Administration.........................................................................................................................................................…</t>
  </si>
  <si>
    <t xml:space="preserve">Foreign Fishing Observer Fund, National Oceanic and Atmospheric </t>
  </si>
  <si>
    <t xml:space="preserve">   Administration........................................................................................................................................................…</t>
  </si>
  <si>
    <t>Total Marketable consists of short-term debt (1 year and less) of $869,342 million, long-term debt (greater than 1 year) of $2,327,718 million and</t>
  </si>
  <si>
    <t>Total Nonmarketable consists of short-term debt (1 year and less) of $349,891 million, long-term debt (greater than 1 year) of $2,844,415 million and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</si>
  <si>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</t>
  </si>
  <si>
    <t>Department of Defense, Medicare Retire Fund.....................................................................................................</t>
  </si>
  <si>
    <t>Zero-coupon Treasury bond.......................................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</si>
  <si>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</si>
  <si>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</si>
  <si>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</si>
  <si>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</si>
  <si>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LY5</t>
  </si>
  <si>
    <t>Semiannually</t>
  </si>
  <si>
    <t>Total R.E.A. Series....................................................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</si>
  <si>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</si>
  <si>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</si>
  <si>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</si>
  <si>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</si>
  <si>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</si>
  <si>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</si>
  <si>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</si>
  <si>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</si>
  <si>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</si>
  <si>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</si>
  <si>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</si>
  <si>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</si>
  <si>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</si>
  <si>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</si>
  <si>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</si>
  <si>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</si>
  <si>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</si>
  <si>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 xml:space="preserve">  Unclassified................................................</t>
  </si>
  <si>
    <t xml:space="preserve"> Series H..............................................................</t>
  </si>
  <si>
    <t>GX9</t>
  </si>
  <si>
    <t>AB6</t>
  </si>
  <si>
    <t>GY7</t>
  </si>
  <si>
    <t xml:space="preserve"> Series HH..........................................................</t>
  </si>
  <si>
    <t>7D8</t>
  </si>
  <si>
    <t>7E6</t>
  </si>
  <si>
    <t>2-3/4</t>
  </si>
  <si>
    <t>GN1</t>
  </si>
  <si>
    <t>GP6</t>
  </si>
  <si>
    <t>FQ6</t>
  </si>
  <si>
    <t>CL5</t>
  </si>
  <si>
    <t xml:space="preserve"> Series H and HH Unclassified...............................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</si>
  <si>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</si>
  <si>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</si>
  <si>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</si>
  <si>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</si>
  <si>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</si>
  <si>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</si>
  <si>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</si>
  <si>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FHA - Flexible Subside Fund, Housing Programs, Housing and Urban</t>
  </si>
  <si>
    <t xml:space="preserve">   Development............................................................................................................................................................…</t>
  </si>
  <si>
    <t>FHA - Homeowner Assistance Fund, Housing Programs, Housing and</t>
  </si>
  <si>
    <t xml:space="preserve">   Urban Development............................................................................................................................................................…</t>
  </si>
  <si>
    <t>San Gabriel Basin Restoration Fund.............................................................................................................................................................................................................................................................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</si>
  <si>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Abandoned Mines Reclamation Fund, Office of Surface Mining Reclamation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</si>
  <si>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</si>
  <si>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</si>
  <si>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</si>
  <si>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</si>
  <si>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</si>
  <si>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</si>
  <si>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</si>
  <si>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</si>
  <si>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</si>
  <si>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</si>
  <si>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Fixed Term certificates</t>
  </si>
  <si>
    <t xml:space="preserve">  (Various interest rates)......................................</t>
  </si>
  <si>
    <t>Various</t>
  </si>
  <si>
    <t>GA9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</si>
  <si>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</si>
  <si>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</si>
  <si>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</si>
  <si>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>Claims Court Judges Retirement Fund.........................................................................................................................</t>
  </si>
  <si>
    <t>Coast Guard General Gift Fund.............................................................................................................................................</t>
  </si>
  <si>
    <t>securities through custodians other than Treasury for which data is not available.</t>
  </si>
  <si>
    <t>Included in this total are marketable securities held by Federal agencies for which Treasury serves as the custodian.  Federal agencies may hold marketable</t>
  </si>
  <si>
    <t>Pursuant to 31 U.S.C. 3101(b).  By Act of June 28, 2002, S. 2578 the Statutory Debt Limit was permanently increased to $6,400,000 million.</t>
  </si>
  <si>
    <t>Debentures issued (series MM) by FHA that are redeemable with 3 months' notification.</t>
  </si>
  <si>
    <t>Comparative by Breakdown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</si>
  <si>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</si>
  <si>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</si>
  <si>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</si>
  <si>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</si>
  <si>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Department of Defense, Education Benefits Fund.....................................................................................................</t>
  </si>
  <si>
    <t>Bills 03/27/03............................................................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</si>
  <si>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</si>
  <si>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</si>
  <si>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</si>
  <si>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</si>
  <si>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</si>
  <si>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</si>
  <si>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</si>
  <si>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</si>
  <si>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Host Nation Support for U.S. Relocation Activities Account...............................................................................................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</si>
  <si>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</si>
  <si>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† SOURCE:  Schedule of Federal Debt</t>
  </si>
  <si>
    <t>MB4</t>
  </si>
  <si>
    <t>MC2</t>
  </si>
  <si>
    <t>MD0</t>
  </si>
  <si>
    <t>ME8</t>
  </si>
  <si>
    <t>912827  R87</t>
  </si>
  <si>
    <t>912828  AK6</t>
  </si>
  <si>
    <t>2-1/8</t>
  </si>
  <si>
    <t>HG5</t>
  </si>
  <si>
    <t>AL4</t>
  </si>
  <si>
    <t>1-7/8</t>
  </si>
  <si>
    <t>HH3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</si>
  <si>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</si>
  <si>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</si>
  <si>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</si>
  <si>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</si>
  <si>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</si>
  <si>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</si>
  <si>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</si>
  <si>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MG3</t>
  </si>
  <si>
    <t>MF5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</si>
  <si>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</si>
  <si>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</si>
  <si>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</si>
  <si>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</si>
  <si>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</si>
  <si>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912820 BV9</t>
  </si>
  <si>
    <t>912827 2M3</t>
  </si>
  <si>
    <t>2-1/4</t>
  </si>
  <si>
    <t>HD2</t>
  </si>
  <si>
    <t>912828  AF7</t>
  </si>
  <si>
    <t>HC4</t>
  </si>
  <si>
    <t>AG5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</si>
  <si>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</si>
  <si>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</si>
  <si>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</si>
  <si>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</si>
  <si>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</si>
  <si>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</si>
  <si>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</si>
  <si>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</si>
  <si>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Conditional Gift Fund, General, Department of State..........................................................................................................................................................................................................................…</t>
  </si>
  <si>
    <t>Defense Cooperation Account, Defense................................................................................................................................................................................................................................................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</si>
  <si>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</si>
  <si>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</si>
  <si>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</si>
  <si>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4U3</t>
  </si>
  <si>
    <t xml:space="preserve">  7K2</t>
  </si>
  <si>
    <t xml:space="preserve">  FJ2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</si>
  <si>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</si>
  <si>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</si>
  <si>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912820  BF3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</si>
  <si>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</si>
  <si>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</si>
  <si>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</si>
  <si>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</si>
  <si>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</si>
  <si>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</si>
  <si>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</si>
  <si>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</si>
  <si>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</si>
  <si>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</si>
  <si>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</si>
  <si>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MH1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</si>
  <si>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</si>
  <si>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</si>
  <si>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</si>
  <si>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</si>
  <si>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</si>
  <si>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</si>
  <si>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</si>
  <si>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</si>
  <si>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</si>
  <si>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</si>
  <si>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</si>
  <si>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</si>
  <si>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</si>
  <si>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</si>
  <si>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</si>
  <si>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07/15-01/15</t>
  </si>
  <si>
    <t>Fiscal Year 2003 to Date</t>
  </si>
  <si>
    <t>Fiscal Year 2002</t>
  </si>
  <si>
    <t>Treasury Demand Deposit..................</t>
  </si>
  <si>
    <t>Daily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</si>
  <si>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</si>
  <si>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</si>
  <si>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</si>
  <si>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Ricky Ray Hemophilia Relief Fund......................................................................................................................................................................................................................................…….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</si>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</sst>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37" fontId="0" fillId="0" borderId="22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2" xfId="0" applyFont="1" applyBorder="1" applyAlignment="1">
      <alignment/>
    </xf>
    <xf numFmtId="37" fontId="9" fillId="0" borderId="23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166" fontId="0" fillId="0" borderId="22" xfId="0" applyNumberFormat="1" applyBorder="1" applyAlignment="1" applyProtection="1">
      <alignment horizontal="center"/>
      <protection/>
    </xf>
    <xf numFmtId="166" fontId="0" fillId="0" borderId="22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5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5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166" fontId="0" fillId="0" borderId="15" xfId="0" applyNumberForma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5" xfId="0" applyBorder="1" applyAlignment="1">
      <alignment horizontal="right"/>
    </xf>
    <xf numFmtId="0" fontId="0" fillId="0" borderId="27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right"/>
      <protection/>
    </xf>
    <xf numFmtId="0" fontId="0" fillId="0" borderId="22" xfId="0" applyBorder="1" applyAlignment="1" quotePrefix="1">
      <alignment horizontal="right"/>
    </xf>
    <xf numFmtId="0" fontId="0" fillId="0" borderId="22" xfId="0" applyBorder="1" applyAlignment="1" quotePrefix="1">
      <alignment horizontal="center"/>
    </xf>
    <xf numFmtId="0" fontId="18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37" fontId="9" fillId="0" borderId="2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8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4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4" xfId="0" applyNumberFormat="1" applyFont="1" applyBorder="1" applyAlignment="1" applyProtection="1">
      <alignment/>
      <protection/>
    </xf>
    <xf numFmtId="37" fontId="6" fillId="0" borderId="31" xfId="0" applyNumberFormat="1" applyFont="1" applyBorder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37" fontId="6" fillId="0" borderId="24" xfId="0" applyNumberFormat="1" applyFont="1" applyBorder="1" applyAlignment="1" applyProtection="1">
      <alignment horizontal="right"/>
      <protection/>
    </xf>
    <xf numFmtId="0" fontId="6" fillId="0" borderId="32" xfId="0" applyFont="1" applyBorder="1" applyAlignment="1">
      <alignment horizontal="center"/>
    </xf>
    <xf numFmtId="37" fontId="6" fillId="0" borderId="32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3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3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2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0" fontId="6" fillId="0" borderId="18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21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5" xfId="15" applyNumberFormat="1" applyFont="1" applyBorder="1" applyAlignment="1">
      <alignment/>
    </xf>
    <xf numFmtId="41" fontId="6" fillId="0" borderId="22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 applyProtection="1">
      <alignment horizontal="centerContinuous"/>
      <protection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8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9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right"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4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 horizontal="right"/>
    </xf>
    <xf numFmtId="14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3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41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41" xfId="0" applyNumberFormat="1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3" xfId="15" applyNumberFormat="1" applyFont="1" applyBorder="1" applyAlignment="1">
      <alignment/>
    </xf>
    <xf numFmtId="37" fontId="9" fillId="0" borderId="22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3" xfId="0" applyNumberFormat="1" applyFont="1" applyBorder="1" applyAlignment="1">
      <alignment/>
    </xf>
    <xf numFmtId="37" fontId="16" fillId="0" borderId="22" xfId="0" applyNumberFormat="1" applyFont="1" applyBorder="1" applyAlignment="1">
      <alignment/>
    </xf>
    <xf numFmtId="37" fontId="8" fillId="0" borderId="43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2" xfId="0" applyFont="1" applyBorder="1" applyAlignment="1">
      <alignment horizontal="left"/>
    </xf>
    <xf numFmtId="37" fontId="15" fillId="0" borderId="35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29" xfId="0" applyNumberFormat="1" applyFont="1" applyBorder="1" applyAlignment="1" quotePrefix="1">
      <alignment horizontal="center" vertical="center"/>
    </xf>
    <xf numFmtId="0" fontId="10" fillId="0" borderId="45" xfId="0" applyFont="1" applyBorder="1" applyAlignment="1">
      <alignment/>
    </xf>
    <xf numFmtId="0" fontId="0" fillId="0" borderId="46" xfId="0" applyNumberFormat="1" applyFont="1" applyBorder="1" applyAlignment="1" quotePrefix="1">
      <alignment horizontal="center"/>
    </xf>
    <xf numFmtId="0" fontId="0" fillId="0" borderId="26" xfId="0" applyNumberFormat="1" applyFont="1" applyBorder="1" applyAlignment="1" quotePrefix="1">
      <alignment horizontal="center" vertical="center"/>
    </xf>
    <xf numFmtId="37" fontId="0" fillId="0" borderId="47" xfId="0" applyNumberFormat="1" applyFont="1" applyBorder="1" applyAlignment="1">
      <alignment/>
    </xf>
    <xf numFmtId="41" fontId="0" fillId="0" borderId="26" xfId="15" applyNumberFormat="1" applyFont="1" applyBorder="1" applyAlignment="1">
      <alignment/>
    </xf>
    <xf numFmtId="37" fontId="0" fillId="0" borderId="48" xfId="0" applyNumberFormat="1" applyFont="1" applyBorder="1" applyAlignment="1">
      <alignment/>
    </xf>
    <xf numFmtId="166" fontId="0" fillId="0" borderId="22" xfId="0" applyNumberFormat="1" applyBorder="1" applyAlignment="1" applyProtection="1" quotePrefix="1">
      <alignment horizontal="centerContinuous"/>
      <protection/>
    </xf>
    <xf numFmtId="166" fontId="0" fillId="0" borderId="22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0" fillId="0" borderId="49" xfId="0" applyFont="1" applyBorder="1" applyAlignment="1">
      <alignment/>
    </xf>
    <xf numFmtId="11" fontId="0" fillId="0" borderId="0" xfId="0" applyNumberFormat="1" applyAlignment="1" quotePrefix="1">
      <alignment horizontal="right"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41" fontId="0" fillId="0" borderId="47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Border="1" applyAlignment="1" applyProtection="1" quotePrefix="1">
      <alignment horizontal="centerContinuous"/>
      <protection/>
    </xf>
    <xf numFmtId="166" fontId="0" fillId="0" borderId="0" xfId="0" applyNumberFormat="1" applyBorder="1" applyAlignment="1" applyProtection="1" quotePrefix="1">
      <alignment/>
      <protection/>
    </xf>
    <xf numFmtId="15" fontId="0" fillId="0" borderId="46" xfId="0" applyNumberFormat="1" applyFont="1" applyBorder="1" applyAlignment="1" quotePrefix="1">
      <alignment horizontal="center"/>
    </xf>
    <xf numFmtId="15" fontId="0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166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0" fontId="12" fillId="0" borderId="3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2"/>
  <sheetViews>
    <sheetView tabSelected="1" view="pageBreakPreview" zoomScale="75" zoomScaleNormal="65" zoomScaleSheetLayoutView="75" workbookViewId="0" topLeftCell="D41">
      <selection activeCell="L51" sqref="L51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31" t="s">
        <v>109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31" t="s">
        <v>527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33" t="s">
        <v>538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34" t="s">
        <v>529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58" t="s">
        <v>539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29" t="s">
        <v>753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3" ht="20.25">
      <c r="A10" s="202"/>
      <c r="B10" s="202"/>
      <c r="C10" s="202"/>
      <c r="D10" s="202"/>
      <c r="E10" s="436" t="s">
        <v>436</v>
      </c>
      <c r="F10" s="437"/>
      <c r="G10" s="437"/>
      <c r="H10" s="438"/>
      <c r="I10" s="438"/>
      <c r="J10" s="439"/>
      <c r="K10" s="257"/>
      <c r="L10" s="260"/>
      <c r="M10" s="260"/>
    </row>
    <row r="11" spans="1:13" ht="20.25">
      <c r="A11" s="459" t="s">
        <v>530</v>
      </c>
      <c r="B11" s="459"/>
      <c r="C11" s="459"/>
      <c r="D11" s="445"/>
      <c r="E11" s="440" t="s">
        <v>439</v>
      </c>
      <c r="F11" s="444"/>
      <c r="G11" s="445"/>
      <c r="H11" s="440" t="s">
        <v>437</v>
      </c>
      <c r="I11" s="444"/>
      <c r="J11" s="445"/>
      <c r="K11" s="440" t="s">
        <v>433</v>
      </c>
      <c r="L11" s="441"/>
      <c r="M11" s="441"/>
    </row>
    <row r="12" spans="1:13" ht="20.25">
      <c r="A12" s="203"/>
      <c r="B12" s="203"/>
      <c r="C12" s="203"/>
      <c r="D12" s="204"/>
      <c r="E12" s="446" t="s">
        <v>44</v>
      </c>
      <c r="F12" s="447"/>
      <c r="G12" s="448"/>
      <c r="H12" s="446" t="s">
        <v>438</v>
      </c>
      <c r="I12" s="447"/>
      <c r="J12" s="448"/>
      <c r="K12" s="205"/>
      <c r="L12" s="206"/>
      <c r="M12" s="73"/>
    </row>
    <row r="13" spans="1:12" ht="18">
      <c r="A13" s="106" t="s">
        <v>533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6" t="s">
        <v>280</v>
      </c>
      <c r="D14" s="25"/>
      <c r="E14" s="169" t="s">
        <v>528</v>
      </c>
      <c r="F14" s="378">
        <f>SUM(Marketable!O56)-I14</f>
        <v>869316.7880000001</v>
      </c>
      <c r="G14" s="199"/>
      <c r="H14" s="169"/>
      <c r="I14" s="120">
        <v>26</v>
      </c>
      <c r="J14" s="194"/>
      <c r="K14" s="209"/>
      <c r="L14" s="371">
        <f>Marketable!O56</f>
        <v>869342.7880000001</v>
      </c>
    </row>
    <row r="15" spans="2:12" ht="19.5" customHeight="1">
      <c r="B15" s="106" t="s">
        <v>772</v>
      </c>
      <c r="D15" s="25"/>
      <c r="E15" s="269" t="s">
        <v>528</v>
      </c>
      <c r="F15" s="378">
        <f>SUM(Marketable!O143)-I15</f>
        <v>1586143.7480000004</v>
      </c>
      <c r="G15" s="405"/>
      <c r="H15" s="268"/>
      <c r="I15" s="120">
        <v>25.95</v>
      </c>
      <c r="J15" s="405"/>
      <c r="K15" s="209"/>
      <c r="L15" s="371">
        <f>Marketable!O143</f>
        <v>1586169.6980000003</v>
      </c>
    </row>
    <row r="16" spans="2:12" ht="19.5" customHeight="1">
      <c r="B16" s="106" t="s">
        <v>773</v>
      </c>
      <c r="D16" s="25"/>
      <c r="E16" s="269" t="s">
        <v>528</v>
      </c>
      <c r="F16" s="378">
        <f>SUM(Marketable!O273)-I16</f>
        <v>588445.5340000001</v>
      </c>
      <c r="G16" s="405"/>
      <c r="H16" s="268"/>
      <c r="I16" s="120">
        <v>309.921</v>
      </c>
      <c r="J16" s="405"/>
      <c r="K16" s="209"/>
      <c r="L16" s="371">
        <f>Marketable!O273</f>
        <v>588755.4550000001</v>
      </c>
    </row>
    <row r="17" spans="2:12" ht="19.5" customHeight="1">
      <c r="B17" s="106" t="s">
        <v>281</v>
      </c>
      <c r="D17" s="25"/>
      <c r="E17" s="169" t="s">
        <v>528</v>
      </c>
      <c r="F17" s="378">
        <f>SUM(Marketable!O284)</f>
        <v>107477.58800000002</v>
      </c>
      <c r="G17" s="199"/>
      <c r="H17" s="169"/>
      <c r="I17" s="120">
        <v>0</v>
      </c>
      <c r="J17" s="194"/>
      <c r="K17" s="209"/>
      <c r="L17" s="371">
        <f>Marketable!O284</f>
        <v>107477.58800000002</v>
      </c>
    </row>
    <row r="18" spans="2:12" ht="19.5" customHeight="1">
      <c r="B18" s="106" t="s">
        <v>282</v>
      </c>
      <c r="D18" s="25"/>
      <c r="E18" s="169" t="s">
        <v>528</v>
      </c>
      <c r="F18" s="378">
        <f>SUM(Marketable!O291)</f>
        <v>45434.617</v>
      </c>
      <c r="G18" s="199"/>
      <c r="H18" s="169"/>
      <c r="I18" s="121">
        <v>0</v>
      </c>
      <c r="J18" s="194"/>
      <c r="K18" s="209"/>
      <c r="L18" s="371">
        <f>Marketable!O291</f>
        <v>45434.617</v>
      </c>
    </row>
    <row r="19" spans="1:12" s="75" customFormat="1" ht="21.75" thickBot="1">
      <c r="A19" s="154" t="s">
        <v>283</v>
      </c>
      <c r="D19" s="195"/>
      <c r="E19" s="198" t="s">
        <v>528</v>
      </c>
      <c r="F19" s="379">
        <f>SUM(F14:F18)</f>
        <v>3196818.2750000004</v>
      </c>
      <c r="G19" s="200"/>
      <c r="H19" s="268">
        <v>1</v>
      </c>
      <c r="I19" s="373">
        <f>SUM(I14:I18)</f>
        <v>361.871</v>
      </c>
      <c r="J19" s="195"/>
      <c r="K19" s="264"/>
      <c r="L19" s="379">
        <f>Marketable!O293</f>
        <v>3197180.146</v>
      </c>
    </row>
    <row r="20" spans="4:12" ht="15.75" thickTop="1">
      <c r="D20" s="25"/>
      <c r="E20" s="14"/>
      <c r="F20" s="380"/>
      <c r="G20" s="25"/>
      <c r="H20" s="14"/>
      <c r="I20" s="383"/>
      <c r="J20" s="25"/>
      <c r="K20" s="14"/>
      <c r="L20" s="380"/>
    </row>
    <row r="21" spans="1:12" ht="18">
      <c r="A21" s="106" t="s">
        <v>535</v>
      </c>
      <c r="D21" s="25"/>
      <c r="E21" s="14"/>
      <c r="F21" s="380"/>
      <c r="G21" s="25"/>
      <c r="H21" s="14"/>
      <c r="I21" s="383"/>
      <c r="J21" s="25"/>
      <c r="K21" s="14"/>
      <c r="L21" s="380"/>
    </row>
    <row r="22" spans="2:12" ht="19.5" customHeight="1">
      <c r="B22" s="106" t="s">
        <v>284</v>
      </c>
      <c r="D22" s="25"/>
      <c r="E22" s="169" t="s">
        <v>528</v>
      </c>
      <c r="F22" s="378">
        <f>Nonmarketable!O20</f>
        <v>29995.179999999997</v>
      </c>
      <c r="G22" s="199"/>
      <c r="H22" s="169"/>
      <c r="I22" s="120">
        <v>0</v>
      </c>
      <c r="J22" s="194"/>
      <c r="K22" s="209"/>
      <c r="L22" s="371">
        <f>Nonmarketable!O20</f>
        <v>29995.179999999997</v>
      </c>
    </row>
    <row r="23" spans="2:12" ht="19.5" customHeight="1">
      <c r="B23" s="106" t="s">
        <v>285</v>
      </c>
      <c r="D23" s="25"/>
      <c r="E23" s="169" t="s">
        <v>528</v>
      </c>
      <c r="F23" s="378">
        <f>Nonmarketable!O28</f>
        <v>11206.958</v>
      </c>
      <c r="G23" s="199"/>
      <c r="H23" s="169"/>
      <c r="I23" s="120">
        <v>0</v>
      </c>
      <c r="J23" s="194"/>
      <c r="K23" s="209"/>
      <c r="L23" s="371">
        <f>Nonmarketable!O28</f>
        <v>11206.958</v>
      </c>
    </row>
    <row r="24" spans="2:12" ht="19.5" customHeight="1">
      <c r="B24" s="106" t="s">
        <v>286</v>
      </c>
      <c r="D24" s="25"/>
      <c r="E24" s="169" t="s">
        <v>528</v>
      </c>
      <c r="F24" s="378">
        <f>SUM(Nonmarketable!O33)</f>
        <v>1.0530000000000044</v>
      </c>
      <c r="G24" s="199"/>
      <c r="H24" s="169"/>
      <c r="I24" s="120">
        <v>0</v>
      </c>
      <c r="J24" s="194"/>
      <c r="K24" s="209"/>
      <c r="L24" s="371">
        <f>Nonmarketable!O33</f>
        <v>1.0530000000000044</v>
      </c>
    </row>
    <row r="25" spans="2:12" ht="19.5" customHeight="1">
      <c r="B25" s="106" t="s">
        <v>287</v>
      </c>
      <c r="D25" s="25"/>
      <c r="E25" s="169" t="s">
        <v>528</v>
      </c>
      <c r="F25" s="378">
        <f>SUM(Nonmarketable!O45)</f>
        <v>148574.08500000005</v>
      </c>
      <c r="G25" s="199"/>
      <c r="H25" s="169"/>
      <c r="I25" s="120">
        <v>0</v>
      </c>
      <c r="J25" s="194"/>
      <c r="K25" s="209"/>
      <c r="L25" s="371">
        <f>Nonmarketable!O45</f>
        <v>148574.08500000005</v>
      </c>
    </row>
    <row r="26" spans="2:12" ht="19.5" customHeight="1">
      <c r="B26" s="106" t="s">
        <v>290</v>
      </c>
      <c r="D26" s="25"/>
      <c r="E26" s="169" t="s">
        <v>528</v>
      </c>
      <c r="F26" s="378">
        <f>Nonmarketable!O64</f>
        <v>195812.74700000003</v>
      </c>
      <c r="G26" s="199"/>
      <c r="H26" s="169"/>
      <c r="I26" s="120">
        <v>0</v>
      </c>
      <c r="J26" s="194"/>
      <c r="K26" s="209"/>
      <c r="L26" s="371">
        <f>Nonmarketable!O64</f>
        <v>195812.74700000003</v>
      </c>
    </row>
    <row r="27" spans="2:12" ht="19.5" customHeight="1">
      <c r="B27" s="106" t="s">
        <v>291</v>
      </c>
      <c r="D27" s="25"/>
      <c r="E27" s="169" t="s">
        <v>528</v>
      </c>
      <c r="F27" s="378">
        <f>GAS!L41</f>
        <v>50603.95</v>
      </c>
      <c r="G27" s="199"/>
      <c r="H27" s="269"/>
      <c r="I27" s="120">
        <f>GAS!L258</f>
        <v>2764036.694000001</v>
      </c>
      <c r="J27" s="194"/>
      <c r="K27" s="209"/>
      <c r="L27" s="371">
        <f>GAS!L260</f>
        <v>2814640.6440000013</v>
      </c>
    </row>
    <row r="28" spans="2:12" ht="19.5" customHeight="1">
      <c r="B28" s="106" t="s">
        <v>293</v>
      </c>
      <c r="D28" s="25"/>
      <c r="E28" s="169" t="s">
        <v>528</v>
      </c>
      <c r="F28" s="381">
        <f>SUM(GAS!L275)</f>
        <v>3964.548</v>
      </c>
      <c r="G28" s="199"/>
      <c r="H28" s="169"/>
      <c r="I28" s="121">
        <v>0</v>
      </c>
      <c r="J28" s="194"/>
      <c r="K28" s="265"/>
      <c r="L28" s="259">
        <f>GAS!L275</f>
        <v>3964.548</v>
      </c>
    </row>
    <row r="29" spans="1:12" s="75" customFormat="1" ht="21.75" thickBot="1">
      <c r="A29" s="154" t="s">
        <v>296</v>
      </c>
      <c r="D29" s="195"/>
      <c r="E29" s="198" t="s">
        <v>528</v>
      </c>
      <c r="F29" s="379">
        <f>SUM(F22:F28)+1</f>
        <v>440159.52100000007</v>
      </c>
      <c r="G29" s="200"/>
      <c r="H29" s="197"/>
      <c r="I29" s="252">
        <f>SUM(I22:I28)</f>
        <v>2764036.694000001</v>
      </c>
      <c r="J29" s="195"/>
      <c r="K29" s="264"/>
      <c r="L29" s="379">
        <f>GAS!L277</f>
        <v>3204197.2150000012</v>
      </c>
    </row>
    <row r="30" spans="4:12" ht="15.75" thickTop="1">
      <c r="D30" s="25"/>
      <c r="E30" s="14"/>
      <c r="F30" s="380"/>
      <c r="G30" s="25"/>
      <c r="H30" s="14"/>
      <c r="I30" s="383"/>
      <c r="J30" s="25"/>
      <c r="K30" s="14"/>
      <c r="L30" s="380"/>
    </row>
    <row r="31" spans="1:13" s="75" customFormat="1" ht="21.75">
      <c r="A31" s="271" t="s">
        <v>129</v>
      </c>
      <c r="B31" s="272"/>
      <c r="C31" s="272"/>
      <c r="D31" s="273"/>
      <c r="E31" s="413" t="s">
        <v>528</v>
      </c>
      <c r="F31" s="382">
        <f>F19+F29</f>
        <v>3636977.7960000006</v>
      </c>
      <c r="G31" s="201"/>
      <c r="H31" s="412"/>
      <c r="I31" s="382">
        <f>+I19+I29</f>
        <v>2764398.565000001</v>
      </c>
      <c r="J31" s="196"/>
      <c r="K31" s="208"/>
      <c r="L31" s="382">
        <f>GAS!L279</f>
        <v>6401377.361000001</v>
      </c>
      <c r="M31" s="258"/>
    </row>
    <row r="32" spans="1:13" ht="46.5" customHeight="1">
      <c r="A32" s="442" t="s">
        <v>540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</row>
    <row r="33" spans="1:13" ht="17.25" customHeight="1">
      <c r="A33" s="450" t="s">
        <v>549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</row>
    <row r="34" spans="1:13" ht="20.25">
      <c r="A34" s="202"/>
      <c r="B34" s="202"/>
      <c r="C34" s="202"/>
      <c r="D34" s="202"/>
      <c r="E34" s="452" t="s">
        <v>436</v>
      </c>
      <c r="F34" s="453"/>
      <c r="G34" s="453"/>
      <c r="H34" s="454"/>
      <c r="I34" s="454"/>
      <c r="J34" s="455"/>
      <c r="K34" s="253"/>
      <c r="L34" s="253"/>
      <c r="M34" s="125"/>
    </row>
    <row r="35" spans="1:13" ht="20.25">
      <c r="A35" s="459"/>
      <c r="B35" s="459"/>
      <c r="C35" s="459"/>
      <c r="D35" s="445"/>
      <c r="E35" s="440" t="s">
        <v>439</v>
      </c>
      <c r="F35" s="444"/>
      <c r="G35" s="445"/>
      <c r="H35" s="440" t="s">
        <v>437</v>
      </c>
      <c r="I35" s="444"/>
      <c r="J35" s="445"/>
      <c r="K35" s="440" t="s">
        <v>433</v>
      </c>
      <c r="L35" s="443"/>
      <c r="M35" s="443"/>
    </row>
    <row r="36" spans="1:13" ht="20.25">
      <c r="A36" s="215"/>
      <c r="B36" s="215"/>
      <c r="C36" s="215"/>
      <c r="D36" s="216"/>
      <c r="E36" s="446" t="s">
        <v>44</v>
      </c>
      <c r="F36" s="447"/>
      <c r="G36" s="448"/>
      <c r="H36" s="446" t="s">
        <v>438</v>
      </c>
      <c r="I36" s="447"/>
      <c r="J36" s="448"/>
      <c r="K36" s="206"/>
      <c r="L36" s="206"/>
      <c r="M36" s="300"/>
    </row>
    <row r="37" spans="1:13" ht="18">
      <c r="A37" s="106" t="s">
        <v>801</v>
      </c>
      <c r="B37" s="106"/>
      <c r="C37" s="106"/>
      <c r="D37" s="125"/>
      <c r="E37" s="254"/>
      <c r="F37" s="107"/>
      <c r="G37" s="255"/>
      <c r="H37" s="218"/>
      <c r="I37" s="218"/>
      <c r="J37" s="255"/>
      <c r="K37" s="78"/>
      <c r="L37" s="78"/>
      <c r="M37" s="78"/>
    </row>
    <row r="38" spans="1:13" ht="19.5" customHeight="1">
      <c r="A38" s="106"/>
      <c r="B38" s="106" t="s">
        <v>297</v>
      </c>
      <c r="C38" s="106"/>
      <c r="D38" s="125"/>
      <c r="E38" s="217" t="s">
        <v>528</v>
      </c>
      <c r="F38" s="370">
        <f>+F31</f>
        <v>3636977.7960000006</v>
      </c>
      <c r="G38" s="219"/>
      <c r="H38" s="218"/>
      <c r="I38" s="370">
        <f>+I31</f>
        <v>2764398.565000001</v>
      </c>
      <c r="J38" s="219"/>
      <c r="K38" s="210"/>
      <c r="L38" s="211">
        <f>+L31</f>
        <v>6401377.361000001</v>
      </c>
      <c r="M38" s="78"/>
    </row>
    <row r="39" spans="1:13" ht="19.5" customHeight="1">
      <c r="A39" s="106"/>
      <c r="B39" s="106" t="s">
        <v>435</v>
      </c>
      <c r="C39" s="106"/>
      <c r="D39" s="125"/>
      <c r="E39" s="217"/>
      <c r="F39" s="371"/>
      <c r="G39" s="219"/>
      <c r="H39" s="218"/>
      <c r="I39" s="371"/>
      <c r="J39" s="219"/>
      <c r="K39" s="106"/>
      <c r="L39" s="211"/>
      <c r="M39" s="78"/>
    </row>
    <row r="40" spans="1:13" ht="19.5" customHeight="1">
      <c r="A40" s="106"/>
      <c r="B40" s="106"/>
      <c r="C40" s="106" t="s">
        <v>298</v>
      </c>
      <c r="D40" s="125"/>
      <c r="E40" s="217" t="s">
        <v>528</v>
      </c>
      <c r="F40" s="371">
        <v>518.345</v>
      </c>
      <c r="G40" s="219"/>
      <c r="H40" s="218"/>
      <c r="I40" s="120">
        <v>0</v>
      </c>
      <c r="J40" s="219"/>
      <c r="K40" s="211"/>
      <c r="L40" s="211">
        <f>SUM(GAS!L268)</f>
        <v>518.345</v>
      </c>
      <c r="M40" s="78"/>
    </row>
    <row r="41" spans="1:13" ht="19.5" customHeight="1">
      <c r="A41" s="106"/>
      <c r="B41" s="106"/>
      <c r="C41" s="106" t="s">
        <v>33</v>
      </c>
      <c r="D41" s="125"/>
      <c r="E41" s="217" t="s">
        <v>528</v>
      </c>
      <c r="F41" s="371">
        <f>45162.644-I41</f>
        <v>34065.035</v>
      </c>
      <c r="G41" s="219"/>
      <c r="H41" s="218"/>
      <c r="I41" s="371">
        <v>11097.609</v>
      </c>
      <c r="J41" s="219"/>
      <c r="K41" s="220"/>
      <c r="L41" s="374">
        <f>F41+I41</f>
        <v>45162.644</v>
      </c>
      <c r="M41" s="78"/>
    </row>
    <row r="42" spans="1:13" ht="19.5" customHeight="1" thickBot="1">
      <c r="A42" s="106"/>
      <c r="B42" s="106" t="s">
        <v>299</v>
      </c>
      <c r="C42" s="106"/>
      <c r="D42" s="125"/>
      <c r="E42" s="217" t="s">
        <v>528</v>
      </c>
      <c r="F42" s="372">
        <f>+F38-F40-F41+1</f>
        <v>3602395.416</v>
      </c>
      <c r="G42" s="219"/>
      <c r="H42" s="218"/>
      <c r="I42" s="372">
        <f>+I38-I40-I41</f>
        <v>2753300.9560000007</v>
      </c>
      <c r="J42" s="219"/>
      <c r="K42" s="261"/>
      <c r="L42" s="375">
        <f>SUM(L38-L40-L41)</f>
        <v>6355696.372000001</v>
      </c>
      <c r="M42" s="78"/>
    </row>
    <row r="43" spans="1:13" ht="18.75" thickTop="1">
      <c r="A43" s="106"/>
      <c r="B43" s="106"/>
      <c r="C43" s="106"/>
      <c r="D43" s="125"/>
      <c r="E43" s="217"/>
      <c r="F43" s="371"/>
      <c r="G43" s="219"/>
      <c r="H43" s="218"/>
      <c r="I43" s="371"/>
      <c r="J43" s="219"/>
      <c r="K43" s="218"/>
      <c r="L43" s="297"/>
      <c r="M43" s="78"/>
    </row>
    <row r="44" spans="1:13" ht="18">
      <c r="A44" s="106"/>
      <c r="B44" s="106" t="s">
        <v>434</v>
      </c>
      <c r="C44" s="106"/>
      <c r="D44" s="125"/>
      <c r="E44" s="217"/>
      <c r="F44" s="371"/>
      <c r="G44" s="219"/>
      <c r="H44" s="218"/>
      <c r="I44" s="371"/>
      <c r="J44" s="219"/>
      <c r="K44" s="218"/>
      <c r="L44" s="297"/>
      <c r="M44" s="78"/>
    </row>
    <row r="45" spans="1:13" ht="21" customHeight="1" thickBot="1">
      <c r="A45" s="106"/>
      <c r="B45" s="106"/>
      <c r="C45" s="106" t="s">
        <v>34</v>
      </c>
      <c r="D45" s="125"/>
      <c r="E45" s="217" t="s">
        <v>528</v>
      </c>
      <c r="F45" s="256">
        <v>116.399</v>
      </c>
      <c r="G45" s="219"/>
      <c r="H45" s="218"/>
      <c r="I45" s="256">
        <v>0</v>
      </c>
      <c r="J45" s="219"/>
      <c r="K45" s="262"/>
      <c r="L45" s="213">
        <f>SUM(F45,I45)</f>
        <v>116.399</v>
      </c>
      <c r="M45" s="78"/>
    </row>
    <row r="46" spans="1:13" ht="18.75" thickTop="1">
      <c r="A46" s="106"/>
      <c r="B46" s="106"/>
      <c r="C46" s="106"/>
      <c r="D46" s="125"/>
      <c r="E46" s="217"/>
      <c r="F46" s="371"/>
      <c r="G46" s="219"/>
      <c r="H46" s="218"/>
      <c r="I46" s="371"/>
      <c r="J46" s="219"/>
      <c r="K46" s="218"/>
      <c r="L46" s="211"/>
      <c r="M46" s="78"/>
    </row>
    <row r="47" spans="1:13" ht="21" thickBot="1">
      <c r="A47" s="202"/>
      <c r="B47" s="207" t="s">
        <v>299</v>
      </c>
      <c r="C47" s="202"/>
      <c r="D47" s="215"/>
      <c r="E47" s="217" t="s">
        <v>528</v>
      </c>
      <c r="F47" s="373">
        <f>+F42+F45-1</f>
        <v>3602510.8150000004</v>
      </c>
      <c r="G47" s="219"/>
      <c r="H47" s="218"/>
      <c r="I47" s="373">
        <f>+I42+I45</f>
        <v>2753300.9560000007</v>
      </c>
      <c r="J47" s="219"/>
      <c r="K47" s="263"/>
      <c r="L47" s="376">
        <f>SUM(L42+L45)-1</f>
        <v>6355811.771000002</v>
      </c>
      <c r="M47" s="78"/>
    </row>
    <row r="48" spans="1:13" ht="22.5" thickBot="1" thickTop="1">
      <c r="A48" s="78"/>
      <c r="B48" s="106" t="s">
        <v>35</v>
      </c>
      <c r="C48" s="78"/>
      <c r="D48" s="78"/>
      <c r="E48" s="78"/>
      <c r="F48" s="78"/>
      <c r="G48" s="78"/>
      <c r="H48" s="78"/>
      <c r="I48" s="78"/>
      <c r="J48" s="78"/>
      <c r="K48" s="266" t="s">
        <v>528</v>
      </c>
      <c r="L48" s="377">
        <v>6400000</v>
      </c>
      <c r="M48" s="78"/>
    </row>
    <row r="49" spans="1:13" ht="18.75" thickTop="1">
      <c r="A49" s="300"/>
      <c r="B49" s="214" t="s">
        <v>305</v>
      </c>
      <c r="C49" s="300"/>
      <c r="D49" s="300"/>
      <c r="E49" s="300"/>
      <c r="F49" s="300"/>
      <c r="G49" s="300"/>
      <c r="H49" s="300"/>
      <c r="I49" s="300"/>
      <c r="J49" s="300"/>
      <c r="K49" s="267" t="s">
        <v>528</v>
      </c>
      <c r="L49" s="212">
        <f>SUM(L48-L47)</f>
        <v>44188.22899999842</v>
      </c>
      <c r="M49" s="300"/>
    </row>
    <row r="50" spans="1:13" ht="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26.25" customHeight="1">
      <c r="A57" s="449" t="s">
        <v>537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</row>
    <row r="58" spans="1:13" ht="26.25" customHeight="1">
      <c r="A58" s="449" t="s">
        <v>547</v>
      </c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</row>
    <row r="59" spans="1:13" ht="15" customHeight="1">
      <c r="A59" s="40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1:13" ht="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5.75">
      <c r="A61" s="456" t="s">
        <v>561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</row>
    <row r="62" spans="1:13" ht="18">
      <c r="A62" s="457" t="s">
        <v>562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</row>
  </sheetData>
  <mergeCells count="26">
    <mergeCell ref="A61:M61"/>
    <mergeCell ref="A62:M62"/>
    <mergeCell ref="A7:M7"/>
    <mergeCell ref="E11:G11"/>
    <mergeCell ref="E12:G12"/>
    <mergeCell ref="A11:D11"/>
    <mergeCell ref="A35:D35"/>
    <mergeCell ref="H35:J35"/>
    <mergeCell ref="E36:G36"/>
    <mergeCell ref="H36:J36"/>
    <mergeCell ref="A58:M58"/>
    <mergeCell ref="K35:M35"/>
    <mergeCell ref="A33:M33"/>
    <mergeCell ref="A57:M57"/>
    <mergeCell ref="E34:J34"/>
    <mergeCell ref="E35:G35"/>
    <mergeCell ref="E10:J10"/>
    <mergeCell ref="K11:M11"/>
    <mergeCell ref="A32:M32"/>
    <mergeCell ref="H11:J11"/>
    <mergeCell ref="H12:J12"/>
    <mergeCell ref="A9:M9"/>
    <mergeCell ref="A1:M1"/>
    <mergeCell ref="A2:M2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60" r:id="rId1"/>
  <rowBreaks count="1" manualBreakCount="1">
    <brk id="6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5"/>
  <sheetViews>
    <sheetView showGridLines="0" view="pageBreakPreview" zoomScale="75" zoomScaleNormal="75" zoomScaleSheetLayoutView="75" workbookViewId="0" topLeftCell="A70">
      <selection activeCell="A84" sqref="A84:IV84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541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6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7"/>
      <c r="K3" s="26"/>
      <c r="L3" s="32"/>
      <c r="M3" s="32"/>
      <c r="N3" s="32"/>
      <c r="O3" s="32"/>
      <c r="P3" s="32"/>
    </row>
    <row r="4" spans="3:16" ht="15.75" customHeight="1">
      <c r="C4" s="89"/>
      <c r="G4" s="16" t="s">
        <v>563</v>
      </c>
      <c r="H4" s="16" t="s">
        <v>564</v>
      </c>
      <c r="I4" s="29"/>
      <c r="J4" s="34" t="s">
        <v>565</v>
      </c>
      <c r="K4" s="16" t="s">
        <v>566</v>
      </c>
      <c r="L4" s="3"/>
      <c r="M4" s="3"/>
      <c r="N4" s="3"/>
      <c r="O4" s="3"/>
      <c r="P4" s="3"/>
    </row>
    <row r="5" spans="1:11" ht="15.75" customHeight="1">
      <c r="A5" s="3" t="s">
        <v>567</v>
      </c>
      <c r="B5" s="3"/>
      <c r="C5" s="3"/>
      <c r="D5" s="3"/>
      <c r="E5" s="3"/>
      <c r="F5" s="3"/>
      <c r="G5" s="16" t="s">
        <v>568</v>
      </c>
      <c r="H5" s="16" t="s">
        <v>569</v>
      </c>
      <c r="I5" s="29"/>
      <c r="J5" s="34" t="s">
        <v>570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571</v>
      </c>
      <c r="L6" s="38"/>
      <c r="M6" s="37" t="s">
        <v>572</v>
      </c>
      <c r="N6" s="38"/>
      <c r="O6" s="37" t="s">
        <v>531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7"/>
      <c r="J7" s="34"/>
      <c r="K7" s="16"/>
      <c r="L7" s="98"/>
      <c r="M7" s="16"/>
      <c r="N7" s="98"/>
      <c r="O7" s="16"/>
      <c r="P7" s="98"/>
    </row>
    <row r="8" spans="1:16" ht="18">
      <c r="A8" s="23" t="s">
        <v>533</v>
      </c>
      <c r="B8" s="23"/>
      <c r="C8" s="22"/>
      <c r="G8" s="18"/>
      <c r="H8" s="18"/>
      <c r="I8" s="39"/>
      <c r="J8" s="68"/>
      <c r="K8" s="40"/>
      <c r="L8" s="21"/>
      <c r="M8" s="14"/>
      <c r="O8" s="40"/>
      <c r="P8" s="41"/>
    </row>
    <row r="9" spans="2:16" ht="19.5">
      <c r="B9" s="9" t="s">
        <v>574</v>
      </c>
      <c r="F9" s="158" t="s">
        <v>36</v>
      </c>
      <c r="G9" s="18"/>
      <c r="H9" s="18"/>
      <c r="I9" s="39"/>
      <c r="J9" s="68"/>
      <c r="K9" s="14"/>
      <c r="M9" s="14"/>
      <c r="O9" s="47"/>
      <c r="P9" s="21"/>
    </row>
    <row r="10" spans="2:16" ht="17.25" customHeight="1">
      <c r="B10" s="9" t="s">
        <v>575</v>
      </c>
      <c r="E10" s="9" t="s">
        <v>576</v>
      </c>
      <c r="F10" s="9"/>
      <c r="G10" s="18"/>
      <c r="H10" s="18"/>
      <c r="I10" s="39"/>
      <c r="J10" s="68"/>
      <c r="K10" s="14"/>
      <c r="M10" s="14"/>
      <c r="O10" s="47"/>
      <c r="P10" s="21"/>
    </row>
    <row r="11" spans="3:16" ht="15.75" customHeight="1">
      <c r="C11" s="43" t="s">
        <v>110</v>
      </c>
      <c r="D11" s="44"/>
      <c r="E11" s="127">
        <v>1.555</v>
      </c>
      <c r="G11" s="156">
        <v>37476</v>
      </c>
      <c r="H11" s="126">
        <v>37658</v>
      </c>
      <c r="I11" s="410"/>
      <c r="J11" s="46">
        <v>37658</v>
      </c>
      <c r="K11" s="40">
        <v>21879.106</v>
      </c>
      <c r="L11" s="21"/>
      <c r="M11" s="47" t="s">
        <v>577</v>
      </c>
      <c r="N11" s="27"/>
      <c r="O11" s="40">
        <f>K11+K12+K13</f>
        <v>60134.5</v>
      </c>
      <c r="P11" s="21"/>
    </row>
    <row r="12" spans="3:16" ht="15.75" customHeight="1">
      <c r="C12" s="43" t="s">
        <v>528</v>
      </c>
      <c r="D12" s="44"/>
      <c r="E12" s="127">
        <v>1.41</v>
      </c>
      <c r="G12" s="156">
        <v>37567</v>
      </c>
      <c r="H12" s="126" t="s">
        <v>528</v>
      </c>
      <c r="I12" s="410"/>
      <c r="J12" s="46" t="s">
        <v>528</v>
      </c>
      <c r="K12" s="40">
        <v>22800.837</v>
      </c>
      <c r="L12" s="21"/>
      <c r="M12" s="47" t="s">
        <v>528</v>
      </c>
      <c r="N12" s="27"/>
      <c r="O12" s="40" t="s">
        <v>528</v>
      </c>
      <c r="P12" s="21"/>
    </row>
    <row r="13" spans="3:16" ht="15.75" customHeight="1">
      <c r="C13" s="43"/>
      <c r="D13" s="44"/>
      <c r="E13" s="127">
        <v>1.145</v>
      </c>
      <c r="G13" s="156">
        <v>37630</v>
      </c>
      <c r="H13" s="126"/>
      <c r="I13" s="410"/>
      <c r="J13" s="46"/>
      <c r="K13" s="40">
        <v>15454.557</v>
      </c>
      <c r="L13" s="21"/>
      <c r="M13" s="47"/>
      <c r="N13" s="27"/>
      <c r="O13" s="40"/>
      <c r="P13" s="21"/>
    </row>
    <row r="14" spans="3:16" ht="15.75" customHeight="1">
      <c r="C14" s="43" t="s">
        <v>700</v>
      </c>
      <c r="D14" s="44"/>
      <c r="E14" s="127">
        <v>1.59</v>
      </c>
      <c r="G14" s="156">
        <v>37483</v>
      </c>
      <c r="H14" s="126">
        <v>37665</v>
      </c>
      <c r="I14" s="410"/>
      <c r="J14" s="46">
        <v>37665</v>
      </c>
      <c r="K14" s="40">
        <v>20656.078</v>
      </c>
      <c r="L14" s="21"/>
      <c r="M14" s="47" t="s">
        <v>577</v>
      </c>
      <c r="N14" s="27"/>
      <c r="O14" s="40">
        <f>K14+K15+K16</f>
        <v>55542.117</v>
      </c>
      <c r="P14" s="21"/>
    </row>
    <row r="15" spans="3:16" ht="15.75" customHeight="1">
      <c r="C15" s="43" t="s">
        <v>528</v>
      </c>
      <c r="D15" s="44"/>
      <c r="E15" s="127">
        <v>1.19</v>
      </c>
      <c r="G15" s="156">
        <v>37574</v>
      </c>
      <c r="H15" s="126" t="s">
        <v>528</v>
      </c>
      <c r="I15" s="410"/>
      <c r="J15" s="46" t="s">
        <v>528</v>
      </c>
      <c r="K15" s="40">
        <v>21443.349</v>
      </c>
      <c r="L15" s="21"/>
      <c r="M15" s="47" t="s">
        <v>528</v>
      </c>
      <c r="N15" s="27"/>
      <c r="O15" s="40" t="s">
        <v>528</v>
      </c>
      <c r="P15" s="21"/>
    </row>
    <row r="16" spans="3:16" ht="15.75" customHeight="1">
      <c r="C16" s="43"/>
      <c r="D16" s="44"/>
      <c r="E16" s="127">
        <v>1.135</v>
      </c>
      <c r="G16" s="156">
        <v>37637</v>
      </c>
      <c r="H16" s="126"/>
      <c r="I16" s="410"/>
      <c r="J16" s="46"/>
      <c r="K16" s="40">
        <v>13442.69</v>
      </c>
      <c r="L16" s="21"/>
      <c r="M16" s="47"/>
      <c r="N16" s="27"/>
      <c r="O16" s="40"/>
      <c r="P16" s="21"/>
    </row>
    <row r="17" spans="3:16" ht="15.75" customHeight="1">
      <c r="C17" s="43" t="s">
        <v>216</v>
      </c>
      <c r="D17" s="44"/>
      <c r="E17" s="127">
        <v>1.63</v>
      </c>
      <c r="G17" s="156">
        <v>37490</v>
      </c>
      <c r="H17" s="126">
        <v>37672</v>
      </c>
      <c r="I17" s="410"/>
      <c r="J17" s="46">
        <v>37672</v>
      </c>
      <c r="K17" s="40">
        <v>19503.949</v>
      </c>
      <c r="L17" s="21"/>
      <c r="M17" s="47" t="s">
        <v>577</v>
      </c>
      <c r="N17" s="27"/>
      <c r="O17" s="40">
        <f>K17+K18+K19</f>
        <v>55917.145000000004</v>
      </c>
      <c r="P17" s="21"/>
    </row>
    <row r="18" spans="3:16" ht="15.75" customHeight="1">
      <c r="C18" s="43" t="s">
        <v>528</v>
      </c>
      <c r="D18" s="44"/>
      <c r="E18" s="127">
        <v>1.205</v>
      </c>
      <c r="G18" s="156">
        <v>37581</v>
      </c>
      <c r="H18" s="126" t="s">
        <v>528</v>
      </c>
      <c r="I18" s="410"/>
      <c r="J18" s="46" t="s">
        <v>528</v>
      </c>
      <c r="K18" s="40">
        <v>20015.104</v>
      </c>
      <c r="L18" s="21"/>
      <c r="M18" s="47" t="s">
        <v>528</v>
      </c>
      <c r="N18" s="27"/>
      <c r="O18" s="40" t="s">
        <v>528</v>
      </c>
      <c r="P18" s="21"/>
    </row>
    <row r="19" spans="3:16" ht="15.75" customHeight="1">
      <c r="C19" s="43"/>
      <c r="D19" s="44"/>
      <c r="E19" s="127">
        <v>1.135</v>
      </c>
      <c r="G19" s="156">
        <v>37644</v>
      </c>
      <c r="H19" s="126"/>
      <c r="I19" s="410"/>
      <c r="J19" s="46"/>
      <c r="K19" s="40">
        <v>16398.092</v>
      </c>
      <c r="L19" s="21"/>
      <c r="M19" s="47"/>
      <c r="N19" s="27"/>
      <c r="O19" s="40"/>
      <c r="P19" s="21"/>
    </row>
    <row r="20" spans="3:16" ht="15.75" customHeight="1">
      <c r="C20" s="43" t="s">
        <v>304</v>
      </c>
      <c r="D20" s="44"/>
      <c r="E20" s="127">
        <v>1.635</v>
      </c>
      <c r="G20" s="156">
        <v>37497</v>
      </c>
      <c r="H20" s="126">
        <v>37679</v>
      </c>
      <c r="I20" s="410"/>
      <c r="J20" s="46">
        <v>37679</v>
      </c>
      <c r="K20" s="40">
        <v>19493.755</v>
      </c>
      <c r="L20" s="21"/>
      <c r="M20" s="47" t="s">
        <v>577</v>
      </c>
      <c r="N20" s="27"/>
      <c r="O20" s="40">
        <f>K20+K21+K22</f>
        <v>57848.728</v>
      </c>
      <c r="P20" s="21"/>
    </row>
    <row r="21" spans="3:16" ht="15.75" customHeight="1">
      <c r="C21" s="43" t="s">
        <v>528</v>
      </c>
      <c r="D21" s="44"/>
      <c r="E21" s="127">
        <v>1.21</v>
      </c>
      <c r="G21" s="156">
        <v>37589</v>
      </c>
      <c r="H21" s="126" t="s">
        <v>528</v>
      </c>
      <c r="I21" s="410"/>
      <c r="J21" s="46" t="s">
        <v>528</v>
      </c>
      <c r="K21" s="40">
        <v>20294.781</v>
      </c>
      <c r="L21" s="21"/>
      <c r="M21" s="47" t="s">
        <v>528</v>
      </c>
      <c r="N21" s="27"/>
      <c r="O21" s="40" t="s">
        <v>528</v>
      </c>
      <c r="P21" s="21"/>
    </row>
    <row r="22" spans="3:16" ht="15.75" customHeight="1">
      <c r="C22" s="43"/>
      <c r="D22" s="44"/>
      <c r="E22" s="127">
        <v>1.155</v>
      </c>
      <c r="G22" s="156">
        <v>37651</v>
      </c>
      <c r="H22" s="126"/>
      <c r="I22" s="410"/>
      <c r="J22" s="46"/>
      <c r="K22" s="40">
        <v>18060.192</v>
      </c>
      <c r="L22" s="21"/>
      <c r="M22" s="47"/>
      <c r="N22" s="27"/>
      <c r="O22" s="40"/>
      <c r="P22" s="21"/>
    </row>
    <row r="23" spans="3:16" ht="15.75" customHeight="1">
      <c r="C23" s="43" t="s">
        <v>788</v>
      </c>
      <c r="D23" s="44"/>
      <c r="E23" s="127">
        <v>1.58</v>
      </c>
      <c r="G23" s="156">
        <v>37504</v>
      </c>
      <c r="H23" s="126">
        <v>37686</v>
      </c>
      <c r="I23" s="410"/>
      <c r="J23" s="46">
        <v>37686</v>
      </c>
      <c r="K23" s="40">
        <v>19473.744</v>
      </c>
      <c r="L23" s="21"/>
      <c r="M23" s="47" t="s">
        <v>577</v>
      </c>
      <c r="N23" s="27"/>
      <c r="O23" s="40">
        <f>K23+K24</f>
        <v>38519.902</v>
      </c>
      <c r="P23" s="21"/>
    </row>
    <row r="24" spans="3:16" ht="15.75" customHeight="1">
      <c r="C24" s="43" t="s">
        <v>528</v>
      </c>
      <c r="D24" s="44"/>
      <c r="E24" s="127">
        <v>1.21</v>
      </c>
      <c r="G24" s="156">
        <v>37595</v>
      </c>
      <c r="H24" s="126" t="s">
        <v>528</v>
      </c>
      <c r="I24" s="410"/>
      <c r="J24" s="46" t="s">
        <v>528</v>
      </c>
      <c r="K24" s="40">
        <v>19046.158</v>
      </c>
      <c r="L24" s="21"/>
      <c r="M24" s="47" t="s">
        <v>528</v>
      </c>
      <c r="N24" s="27"/>
      <c r="O24" s="40" t="s">
        <v>528</v>
      </c>
      <c r="P24" s="21"/>
    </row>
    <row r="25" spans="3:16" ht="15.75" customHeight="1">
      <c r="C25" s="43" t="s">
        <v>789</v>
      </c>
      <c r="D25" s="44"/>
      <c r="E25" s="127">
        <v>1.635</v>
      </c>
      <c r="G25" s="156">
        <v>37511</v>
      </c>
      <c r="H25" s="126">
        <v>37693</v>
      </c>
      <c r="I25" s="410"/>
      <c r="J25" s="46">
        <v>37693</v>
      </c>
      <c r="K25" s="40">
        <v>17903.328</v>
      </c>
      <c r="L25" s="21"/>
      <c r="M25" s="47" t="s">
        <v>577</v>
      </c>
      <c r="N25" s="27"/>
      <c r="O25" s="40">
        <f>K25+K26</f>
        <v>37123.062000000005</v>
      </c>
      <c r="P25" s="21"/>
    </row>
    <row r="26" spans="3:16" ht="15.75" customHeight="1">
      <c r="C26" s="43" t="s">
        <v>528</v>
      </c>
      <c r="D26" s="44"/>
      <c r="E26" s="127">
        <v>1.195</v>
      </c>
      <c r="G26" s="156">
        <v>37602</v>
      </c>
      <c r="H26" s="126" t="s">
        <v>528</v>
      </c>
      <c r="I26" s="410"/>
      <c r="J26" s="46" t="s">
        <v>528</v>
      </c>
      <c r="K26" s="40">
        <v>19219.734</v>
      </c>
      <c r="L26" s="21"/>
      <c r="M26" s="47" t="s">
        <v>528</v>
      </c>
      <c r="N26" s="27"/>
      <c r="O26" s="40" t="s">
        <v>528</v>
      </c>
      <c r="P26" s="21"/>
    </row>
    <row r="27" spans="3:16" ht="15.75" customHeight="1">
      <c r="C27" s="43" t="s">
        <v>790</v>
      </c>
      <c r="D27" s="44"/>
      <c r="E27" s="127">
        <v>1.64</v>
      </c>
      <c r="G27" s="156">
        <v>37518</v>
      </c>
      <c r="H27" s="126">
        <v>37700</v>
      </c>
      <c r="I27" s="410"/>
      <c r="J27" s="46">
        <v>37700</v>
      </c>
      <c r="K27" s="40">
        <v>17915.709</v>
      </c>
      <c r="L27" s="21"/>
      <c r="M27" s="47" t="s">
        <v>577</v>
      </c>
      <c r="N27" s="27"/>
      <c r="O27" s="40">
        <f>K27+K28</f>
        <v>36981.771</v>
      </c>
      <c r="P27" s="21"/>
    </row>
    <row r="28" spans="3:16" ht="15.75" customHeight="1">
      <c r="C28" s="43" t="s">
        <v>528</v>
      </c>
      <c r="D28" s="44"/>
      <c r="E28" s="127">
        <v>1.2</v>
      </c>
      <c r="G28" s="156">
        <v>37609</v>
      </c>
      <c r="H28" s="126" t="s">
        <v>528</v>
      </c>
      <c r="I28" s="410"/>
      <c r="J28" s="46" t="s">
        <v>528</v>
      </c>
      <c r="K28" s="40">
        <v>19066.062</v>
      </c>
      <c r="L28" s="21"/>
      <c r="M28" s="47" t="s">
        <v>528</v>
      </c>
      <c r="N28" s="27"/>
      <c r="O28" s="40" t="s">
        <v>528</v>
      </c>
      <c r="P28" s="21"/>
    </row>
    <row r="29" spans="3:16" ht="15.75" customHeight="1">
      <c r="C29" s="43" t="s">
        <v>791</v>
      </c>
      <c r="D29" s="44"/>
      <c r="E29" s="127">
        <v>1.58</v>
      </c>
      <c r="G29" s="156">
        <v>37525</v>
      </c>
      <c r="H29" s="126">
        <v>37707</v>
      </c>
      <c r="I29" s="410"/>
      <c r="J29" s="46">
        <v>37707</v>
      </c>
      <c r="K29" s="40">
        <v>18025.187</v>
      </c>
      <c r="L29" s="21"/>
      <c r="M29" s="47" t="s">
        <v>577</v>
      </c>
      <c r="N29" s="27"/>
      <c r="O29" s="40">
        <f>K29+K30</f>
        <v>36935.828</v>
      </c>
      <c r="P29" s="21"/>
    </row>
    <row r="30" spans="3:16" ht="15.75" customHeight="1">
      <c r="C30" s="43" t="s">
        <v>528</v>
      </c>
      <c r="D30" s="44"/>
      <c r="E30" s="127">
        <v>1.185</v>
      </c>
      <c r="G30" s="156">
        <v>37616</v>
      </c>
      <c r="H30" s="126" t="s">
        <v>528</v>
      </c>
      <c r="I30" s="410"/>
      <c r="J30" s="46" t="s">
        <v>528</v>
      </c>
      <c r="K30" s="40">
        <v>18910.641</v>
      </c>
      <c r="L30" s="21"/>
      <c r="M30" s="47" t="s">
        <v>528</v>
      </c>
      <c r="N30" s="27"/>
      <c r="O30" s="40" t="s">
        <v>528</v>
      </c>
      <c r="P30" s="21"/>
    </row>
    <row r="31" spans="3:16" ht="15.75" customHeight="1">
      <c r="C31" s="43" t="s">
        <v>807</v>
      </c>
      <c r="D31" s="44"/>
      <c r="E31" s="127">
        <v>1.475</v>
      </c>
      <c r="G31" s="156">
        <v>37532</v>
      </c>
      <c r="H31" s="126">
        <v>37714</v>
      </c>
      <c r="I31" s="410"/>
      <c r="J31" s="46">
        <v>37714</v>
      </c>
      <c r="K31" s="40">
        <v>19203.594</v>
      </c>
      <c r="L31" s="21"/>
      <c r="M31" s="47" t="s">
        <v>577</v>
      </c>
      <c r="N31" s="27"/>
      <c r="O31" s="40">
        <f>K31+K32</f>
        <v>38360.968</v>
      </c>
      <c r="P31" s="21"/>
    </row>
    <row r="32" spans="3:16" ht="15.75" customHeight="1">
      <c r="C32" s="43"/>
      <c r="D32" s="44"/>
      <c r="E32" s="127">
        <v>1.185</v>
      </c>
      <c r="G32" s="156">
        <v>37623</v>
      </c>
      <c r="H32" s="126"/>
      <c r="I32" s="410"/>
      <c r="J32" s="46"/>
      <c r="K32" s="40">
        <v>19157.374</v>
      </c>
      <c r="L32" s="21"/>
      <c r="M32" s="47"/>
      <c r="N32" s="27"/>
      <c r="O32" s="40"/>
      <c r="P32" s="21"/>
    </row>
    <row r="33" spans="3:16" ht="15.75" customHeight="1">
      <c r="C33" s="43" t="s">
        <v>806</v>
      </c>
      <c r="D33" s="44"/>
      <c r="E33" s="127">
        <v>1.53</v>
      </c>
      <c r="G33" s="156">
        <v>37539</v>
      </c>
      <c r="H33" s="126">
        <v>37721</v>
      </c>
      <c r="I33" s="410"/>
      <c r="J33" s="46">
        <v>37721</v>
      </c>
      <c r="K33" s="40">
        <v>19142.943</v>
      </c>
      <c r="L33" s="21"/>
      <c r="M33" s="47" t="s">
        <v>577</v>
      </c>
      <c r="N33" s="27"/>
      <c r="O33" s="40">
        <f>K33+K34</f>
        <v>39719.713</v>
      </c>
      <c r="P33" s="21"/>
    </row>
    <row r="34" spans="3:16" ht="15.75" customHeight="1">
      <c r="C34" s="43"/>
      <c r="D34" s="44"/>
      <c r="E34" s="127">
        <v>1.185</v>
      </c>
      <c r="G34" s="156">
        <v>37630</v>
      </c>
      <c r="H34" s="126"/>
      <c r="I34" s="410"/>
      <c r="J34" s="46"/>
      <c r="K34" s="40">
        <v>20576.77</v>
      </c>
      <c r="L34" s="21"/>
      <c r="M34" s="47"/>
      <c r="N34" s="27"/>
      <c r="O34" s="40"/>
      <c r="P34" s="21"/>
    </row>
    <row r="35" spans="3:16" ht="15.75" customHeight="1">
      <c r="C35" s="43" t="s">
        <v>850</v>
      </c>
      <c r="D35" s="44"/>
      <c r="E35" s="127">
        <v>1.63</v>
      </c>
      <c r="G35" s="156">
        <v>37546</v>
      </c>
      <c r="H35" s="126">
        <v>37728</v>
      </c>
      <c r="I35" s="410"/>
      <c r="J35" s="46">
        <v>37728</v>
      </c>
      <c r="K35" s="40">
        <v>20305.104</v>
      </c>
      <c r="L35" s="21"/>
      <c r="M35" s="47" t="s">
        <v>577</v>
      </c>
      <c r="N35" s="27"/>
      <c r="O35" s="40">
        <f>K35+K36</f>
        <v>42493.066999999995</v>
      </c>
      <c r="P35" s="21"/>
    </row>
    <row r="36" spans="3:16" ht="15.75" customHeight="1">
      <c r="C36" s="43"/>
      <c r="D36" s="44"/>
      <c r="E36" s="127">
        <v>1.18</v>
      </c>
      <c r="G36" s="156">
        <v>37637</v>
      </c>
      <c r="H36" s="126"/>
      <c r="I36" s="410"/>
      <c r="J36" s="46"/>
      <c r="K36" s="40">
        <v>22187.963</v>
      </c>
      <c r="L36" s="21"/>
      <c r="M36" s="47"/>
      <c r="N36" s="27"/>
      <c r="O36" s="40"/>
      <c r="P36" s="21"/>
    </row>
    <row r="37" spans="3:16" ht="15.75" customHeight="1">
      <c r="C37" s="43" t="s">
        <v>525</v>
      </c>
      <c r="D37" s="44"/>
      <c r="E37" s="127">
        <v>1.665</v>
      </c>
      <c r="G37" s="156">
        <v>37553</v>
      </c>
      <c r="H37" s="126">
        <v>37735</v>
      </c>
      <c r="I37" s="410"/>
      <c r="J37" s="46">
        <v>37735</v>
      </c>
      <c r="K37" s="40">
        <v>21599.272</v>
      </c>
      <c r="L37" s="21"/>
      <c r="M37" s="47" t="s">
        <v>577</v>
      </c>
      <c r="N37" s="27"/>
      <c r="O37" s="40">
        <f>K37+K38</f>
        <v>45304.816999999995</v>
      </c>
      <c r="P37" s="21"/>
    </row>
    <row r="38" spans="3:16" ht="15.75" customHeight="1">
      <c r="C38" s="43"/>
      <c r="D38" s="44"/>
      <c r="E38" s="127">
        <v>1.16</v>
      </c>
      <c r="G38" s="156">
        <v>37644</v>
      </c>
      <c r="H38" s="126"/>
      <c r="I38" s="410"/>
      <c r="J38" s="46"/>
      <c r="K38" s="40">
        <v>23705.545</v>
      </c>
      <c r="L38" s="21"/>
      <c r="M38" s="47"/>
      <c r="N38" s="27"/>
      <c r="O38" s="40"/>
      <c r="P38" s="21"/>
    </row>
    <row r="39" spans="3:16" ht="15.75" customHeight="1">
      <c r="C39" s="43" t="s">
        <v>1</v>
      </c>
      <c r="D39" s="44"/>
      <c r="E39" s="127">
        <v>1.515</v>
      </c>
      <c r="G39" s="156">
        <v>37560</v>
      </c>
      <c r="H39" s="126">
        <v>37742</v>
      </c>
      <c r="I39" s="410"/>
      <c r="J39" s="46">
        <v>37742</v>
      </c>
      <c r="K39" s="40">
        <v>23001.164</v>
      </c>
      <c r="L39" s="21"/>
      <c r="M39" s="47" t="s">
        <v>577</v>
      </c>
      <c r="N39" s="27"/>
      <c r="O39" s="40">
        <f>K39+K40</f>
        <v>47833.656</v>
      </c>
      <c r="P39" s="21"/>
    </row>
    <row r="40" spans="3:16" ht="15.75" customHeight="1">
      <c r="C40" s="43"/>
      <c r="D40" s="44"/>
      <c r="E40" s="127">
        <v>1.14</v>
      </c>
      <c r="G40" s="156">
        <v>37651</v>
      </c>
      <c r="H40" s="126"/>
      <c r="I40" s="410"/>
      <c r="J40" s="46"/>
      <c r="K40" s="40">
        <v>24832.492</v>
      </c>
      <c r="L40" s="21"/>
      <c r="M40" s="47"/>
      <c r="N40" s="27"/>
      <c r="O40" s="40"/>
      <c r="P40" s="21"/>
    </row>
    <row r="41" spans="3:16" ht="15.75" customHeight="1">
      <c r="C41" s="43" t="s">
        <v>56</v>
      </c>
      <c r="D41" s="44"/>
      <c r="E41" s="127">
        <v>1.395</v>
      </c>
      <c r="G41" s="156">
        <v>37567</v>
      </c>
      <c r="H41" s="126">
        <v>37749</v>
      </c>
      <c r="I41" s="410"/>
      <c r="J41" s="46">
        <v>37749</v>
      </c>
      <c r="K41" s="40">
        <v>23160.745</v>
      </c>
      <c r="L41" s="21"/>
      <c r="M41" s="47" t="s">
        <v>577</v>
      </c>
      <c r="N41" s="27"/>
      <c r="O41" s="40">
        <f aca="true" t="shared" si="0" ref="O41:O53">K41</f>
        <v>23160.745</v>
      </c>
      <c r="P41" s="21"/>
    </row>
    <row r="42" spans="3:16" ht="15.75" customHeight="1">
      <c r="C42" s="43" t="s">
        <v>55</v>
      </c>
      <c r="D42" s="44"/>
      <c r="E42" s="127">
        <v>1.225</v>
      </c>
      <c r="G42" s="156">
        <v>37574</v>
      </c>
      <c r="H42" s="126">
        <v>37756</v>
      </c>
      <c r="I42" s="410"/>
      <c r="J42" s="46">
        <v>37756</v>
      </c>
      <c r="K42" s="40">
        <v>21817.479</v>
      </c>
      <c r="L42" s="21"/>
      <c r="M42" s="47" t="s">
        <v>577</v>
      </c>
      <c r="N42" s="27"/>
      <c r="O42" s="40">
        <f t="shared" si="0"/>
        <v>21817.479</v>
      </c>
      <c r="P42" s="21"/>
    </row>
    <row r="43" spans="3:16" ht="15.75" customHeight="1">
      <c r="C43" s="43" t="s">
        <v>54</v>
      </c>
      <c r="D43" s="44"/>
      <c r="E43" s="127">
        <v>1.245</v>
      </c>
      <c r="G43" s="156">
        <v>37581</v>
      </c>
      <c r="H43" s="126">
        <v>37763</v>
      </c>
      <c r="I43" s="410"/>
      <c r="J43" s="46">
        <v>37763</v>
      </c>
      <c r="K43" s="40">
        <v>20507.108</v>
      </c>
      <c r="L43" s="21"/>
      <c r="M43" s="47" t="s">
        <v>577</v>
      </c>
      <c r="N43" s="27"/>
      <c r="O43" s="40">
        <f t="shared" si="0"/>
        <v>20507.108</v>
      </c>
      <c r="P43" s="21"/>
    </row>
    <row r="44" spans="3:16" ht="15.75" customHeight="1">
      <c r="C44" s="43" t="s">
        <v>53</v>
      </c>
      <c r="D44" s="44"/>
      <c r="E44" s="127">
        <v>1.265</v>
      </c>
      <c r="G44" s="156">
        <v>37589</v>
      </c>
      <c r="H44" s="126">
        <v>37770</v>
      </c>
      <c r="I44" s="410"/>
      <c r="J44" s="46">
        <v>37770</v>
      </c>
      <c r="K44" s="40">
        <v>20592.866</v>
      </c>
      <c r="L44" s="21"/>
      <c r="M44" s="47" t="s">
        <v>577</v>
      </c>
      <c r="N44" s="27"/>
      <c r="O44" s="40">
        <f t="shared" si="0"/>
        <v>20592.866</v>
      </c>
      <c r="P44" s="21"/>
    </row>
    <row r="45" spans="3:16" ht="15.75" customHeight="1">
      <c r="C45" s="43" t="s">
        <v>94</v>
      </c>
      <c r="D45" s="44"/>
      <c r="E45" s="127">
        <v>1.29</v>
      </c>
      <c r="G45" s="156">
        <v>37595</v>
      </c>
      <c r="H45" s="126">
        <v>37777</v>
      </c>
      <c r="I45" s="410"/>
      <c r="J45" s="46">
        <v>37777</v>
      </c>
      <c r="K45" s="40">
        <v>20633.645</v>
      </c>
      <c r="L45" s="21"/>
      <c r="M45" s="47" t="s">
        <v>577</v>
      </c>
      <c r="N45" s="27"/>
      <c r="O45" s="40">
        <f t="shared" si="0"/>
        <v>20633.645</v>
      </c>
      <c r="P45" s="21"/>
    </row>
    <row r="46" spans="3:16" ht="15.75" customHeight="1">
      <c r="C46" s="43" t="s">
        <v>95</v>
      </c>
      <c r="D46" s="44"/>
      <c r="E46" s="127">
        <v>1.245</v>
      </c>
      <c r="G46" s="156">
        <v>37602</v>
      </c>
      <c r="H46" s="126">
        <v>37784</v>
      </c>
      <c r="I46" s="410"/>
      <c r="J46" s="46">
        <v>37784</v>
      </c>
      <c r="K46" s="40">
        <v>20616.847</v>
      </c>
      <c r="L46" s="21"/>
      <c r="M46" s="47" t="s">
        <v>577</v>
      </c>
      <c r="N46" s="27"/>
      <c r="O46" s="40">
        <f t="shared" si="0"/>
        <v>20616.847</v>
      </c>
      <c r="P46" s="21"/>
    </row>
    <row r="47" spans="3:16" ht="15.75" customHeight="1">
      <c r="C47" s="43" t="s">
        <v>96</v>
      </c>
      <c r="D47" s="44"/>
      <c r="E47" s="127">
        <v>1.26</v>
      </c>
      <c r="G47" s="156">
        <v>37609</v>
      </c>
      <c r="H47" s="126">
        <v>37791</v>
      </c>
      <c r="I47" s="410"/>
      <c r="J47" s="46">
        <v>37791</v>
      </c>
      <c r="K47" s="40">
        <v>21914.879</v>
      </c>
      <c r="L47" s="21"/>
      <c r="M47" s="47" t="s">
        <v>577</v>
      </c>
      <c r="N47" s="27"/>
      <c r="O47" s="40">
        <f t="shared" si="0"/>
        <v>21914.879</v>
      </c>
      <c r="P47" s="21"/>
    </row>
    <row r="48" spans="3:16" ht="15.75" customHeight="1">
      <c r="C48" s="43" t="s">
        <v>97</v>
      </c>
      <c r="D48" s="44"/>
      <c r="E48" s="127">
        <v>1.24</v>
      </c>
      <c r="G48" s="156">
        <v>37616</v>
      </c>
      <c r="H48" s="126">
        <v>37798</v>
      </c>
      <c r="I48" s="410"/>
      <c r="J48" s="46">
        <v>37798</v>
      </c>
      <c r="K48" s="40">
        <v>21882.929</v>
      </c>
      <c r="L48" s="21"/>
      <c r="M48" s="47" t="s">
        <v>577</v>
      </c>
      <c r="N48" s="27"/>
      <c r="O48" s="40">
        <f t="shared" si="0"/>
        <v>21882.929</v>
      </c>
      <c r="P48" s="21"/>
    </row>
    <row r="49" spans="3:16" ht="15.75" customHeight="1">
      <c r="C49" s="43" t="s">
        <v>112</v>
      </c>
      <c r="D49" s="44"/>
      <c r="E49" s="127">
        <v>1.22</v>
      </c>
      <c r="F49" s="426"/>
      <c r="G49" s="425">
        <v>37623</v>
      </c>
      <c r="H49" s="126">
        <v>37805</v>
      </c>
      <c r="I49" s="410"/>
      <c r="J49" s="46">
        <v>37805</v>
      </c>
      <c r="K49" s="40">
        <v>21921.314</v>
      </c>
      <c r="L49" s="21"/>
      <c r="M49" s="47" t="s">
        <v>577</v>
      </c>
      <c r="N49" s="27"/>
      <c r="O49" s="40">
        <f t="shared" si="0"/>
        <v>21921.314</v>
      </c>
      <c r="P49" s="21"/>
    </row>
    <row r="50" spans="3:16" ht="15.75" customHeight="1">
      <c r="C50" s="43" t="s">
        <v>113</v>
      </c>
      <c r="D50" s="44"/>
      <c r="E50" s="127">
        <v>1.24</v>
      </c>
      <c r="F50" s="426"/>
      <c r="G50" s="425">
        <v>37630</v>
      </c>
      <c r="H50" s="126">
        <v>37812</v>
      </c>
      <c r="I50" s="410"/>
      <c r="J50" s="46">
        <v>37812</v>
      </c>
      <c r="K50" s="40">
        <v>20541.606</v>
      </c>
      <c r="L50" s="21"/>
      <c r="M50" s="47" t="s">
        <v>577</v>
      </c>
      <c r="N50" s="27"/>
      <c r="O50" s="40">
        <f t="shared" si="0"/>
        <v>20541.606</v>
      </c>
      <c r="P50" s="21"/>
    </row>
    <row r="51" spans="3:16" ht="15.75" customHeight="1">
      <c r="C51" s="43" t="s">
        <v>114</v>
      </c>
      <c r="D51" s="44"/>
      <c r="E51" s="127">
        <v>1.23</v>
      </c>
      <c r="F51" s="426"/>
      <c r="G51" s="425">
        <v>37637</v>
      </c>
      <c r="H51" s="126">
        <v>37819</v>
      </c>
      <c r="I51" s="410"/>
      <c r="J51" s="46">
        <v>37819</v>
      </c>
      <c r="K51" s="40">
        <v>20558.103</v>
      </c>
      <c r="L51" s="21"/>
      <c r="M51" s="47" t="s">
        <v>577</v>
      </c>
      <c r="N51" s="27"/>
      <c r="O51" s="40">
        <f t="shared" si="0"/>
        <v>20558.103</v>
      </c>
      <c r="P51" s="21"/>
    </row>
    <row r="52" spans="3:16" ht="15.75" customHeight="1">
      <c r="C52" s="43" t="s">
        <v>115</v>
      </c>
      <c r="D52" s="44"/>
      <c r="E52" s="127">
        <v>1.19</v>
      </c>
      <c r="F52" s="426"/>
      <c r="G52" s="425">
        <v>37644</v>
      </c>
      <c r="H52" s="126">
        <v>37826</v>
      </c>
      <c r="I52" s="410"/>
      <c r="J52" s="46">
        <v>37826</v>
      </c>
      <c r="K52" s="40">
        <v>20591.827</v>
      </c>
      <c r="L52" s="21"/>
      <c r="M52" s="47" t="s">
        <v>577</v>
      </c>
      <c r="N52" s="27"/>
      <c r="O52" s="40">
        <f t="shared" si="0"/>
        <v>20591.827</v>
      </c>
      <c r="P52" s="21"/>
    </row>
    <row r="53" spans="3:16" ht="15.75" customHeight="1">
      <c r="C53" s="43" t="s">
        <v>116</v>
      </c>
      <c r="D53" s="44"/>
      <c r="E53" s="127">
        <v>1.16</v>
      </c>
      <c r="F53" s="426"/>
      <c r="G53" s="425">
        <v>37651</v>
      </c>
      <c r="H53" s="126">
        <v>37833</v>
      </c>
      <c r="I53" s="410"/>
      <c r="J53" s="46">
        <v>37833</v>
      </c>
      <c r="K53" s="40">
        <v>21887.717</v>
      </c>
      <c r="L53" s="21"/>
      <c r="M53" s="47" t="s">
        <v>577</v>
      </c>
      <c r="N53" s="27"/>
      <c r="O53" s="40">
        <f t="shared" si="0"/>
        <v>21887.717</v>
      </c>
      <c r="P53" s="21"/>
    </row>
    <row r="54" spans="2:16" ht="21" customHeight="1">
      <c r="B54" s="9" t="s">
        <v>480</v>
      </c>
      <c r="G54" s="16" t="s">
        <v>578</v>
      </c>
      <c r="H54" s="46" t="s">
        <v>579</v>
      </c>
      <c r="I54" s="3"/>
      <c r="J54" s="34" t="s">
        <v>580</v>
      </c>
      <c r="K54" s="56">
        <f>SUM(K11:K53)</f>
        <v>869342.3389999999</v>
      </c>
      <c r="L54" s="221"/>
      <c r="M54" s="222" t="s">
        <v>577</v>
      </c>
      <c r="N54" s="223"/>
      <c r="O54" s="56">
        <f>SUM(O11:O53)</f>
        <v>869342.339</v>
      </c>
      <c r="P54" s="221"/>
    </row>
    <row r="55" spans="2:16" ht="15.75" customHeight="1">
      <c r="B55" t="s">
        <v>481</v>
      </c>
      <c r="G55" s="16" t="s">
        <v>578</v>
      </c>
      <c r="H55" s="46" t="s">
        <v>579</v>
      </c>
      <c r="I55" s="3"/>
      <c r="J55" s="34" t="s">
        <v>580</v>
      </c>
      <c r="K55" s="224" t="s">
        <v>761</v>
      </c>
      <c r="L55" s="28"/>
      <c r="M55" s="225" t="s">
        <v>577</v>
      </c>
      <c r="N55" s="226"/>
      <c r="O55" s="224" t="str">
        <f>K55</f>
        <v>*  </v>
      </c>
      <c r="P55" s="28"/>
    </row>
    <row r="56" spans="2:16" ht="15.75" customHeight="1" thickBot="1">
      <c r="B56" s="75" t="s">
        <v>482</v>
      </c>
      <c r="G56" s="16" t="s">
        <v>578</v>
      </c>
      <c r="H56" s="46" t="s">
        <v>579</v>
      </c>
      <c r="I56" s="3"/>
      <c r="J56" s="34" t="s">
        <v>580</v>
      </c>
      <c r="K56" s="227">
        <f>+K54+0.449</f>
        <v>869342.788</v>
      </c>
      <c r="L56" s="228"/>
      <c r="M56" s="230" t="s">
        <v>577</v>
      </c>
      <c r="N56" s="231"/>
      <c r="O56" s="227">
        <f>+O54+0.449</f>
        <v>869342.7880000001</v>
      </c>
      <c r="P56" s="24"/>
    </row>
    <row r="57" spans="7:16" ht="15.75" customHeight="1" thickTop="1">
      <c r="G57" s="14"/>
      <c r="H57" s="45"/>
      <c r="J57" s="34"/>
      <c r="K57" s="40"/>
      <c r="L57" s="21"/>
      <c r="M57" s="40"/>
      <c r="N57" s="21"/>
      <c r="O57" s="40"/>
      <c r="P57" s="21"/>
    </row>
    <row r="58" spans="2:16" ht="21" customHeight="1">
      <c r="B58" s="9" t="s">
        <v>581</v>
      </c>
      <c r="D58" s="159" t="s">
        <v>37</v>
      </c>
      <c r="F58" s="19"/>
      <c r="G58" s="18"/>
      <c r="H58" s="18"/>
      <c r="I58" s="39"/>
      <c r="J58" s="68"/>
      <c r="K58" s="14"/>
      <c r="M58" s="14"/>
      <c r="O58" s="40"/>
      <c r="P58" s="21"/>
    </row>
    <row r="59" spans="2:16" ht="17.25" customHeight="1">
      <c r="B59" s="9" t="s">
        <v>575</v>
      </c>
      <c r="D59" s="3" t="s">
        <v>582</v>
      </c>
      <c r="E59" s="3" t="s">
        <v>583</v>
      </c>
      <c r="F59" s="3"/>
      <c r="G59" s="69"/>
      <c r="H59" s="69"/>
      <c r="I59" s="42"/>
      <c r="J59" s="68"/>
      <c r="K59" s="14"/>
      <c r="M59" s="14"/>
      <c r="O59" s="40"/>
      <c r="P59" s="21"/>
    </row>
    <row r="60" spans="3:16" ht="15.75" customHeight="1">
      <c r="C60" s="43" t="s">
        <v>111</v>
      </c>
      <c r="D60" s="48" t="s">
        <v>593</v>
      </c>
      <c r="E60" s="48" t="s">
        <v>602</v>
      </c>
      <c r="F60" s="158"/>
      <c r="G60" s="52">
        <v>34016</v>
      </c>
      <c r="H60" s="46">
        <v>37667</v>
      </c>
      <c r="I60" s="3"/>
      <c r="J60" s="34" t="s">
        <v>595</v>
      </c>
      <c r="K60" s="40">
        <v>23562.691</v>
      </c>
      <c r="L60" s="21"/>
      <c r="M60" s="47" t="s">
        <v>577</v>
      </c>
      <c r="N60" s="27"/>
      <c r="O60" s="40">
        <f>K60-M60</f>
        <v>23562.691</v>
      </c>
      <c r="P60" s="21"/>
    </row>
    <row r="61" spans="3:16" ht="15.75" customHeight="1">
      <c r="C61" s="43" t="s">
        <v>164</v>
      </c>
      <c r="D61" s="48" t="s">
        <v>630</v>
      </c>
      <c r="E61" s="89" t="s">
        <v>598</v>
      </c>
      <c r="F61" s="158"/>
      <c r="G61" s="52">
        <v>35856</v>
      </c>
      <c r="H61" s="46">
        <v>37680</v>
      </c>
      <c r="I61" s="3"/>
      <c r="J61" s="34" t="s">
        <v>599</v>
      </c>
      <c r="K61" s="40">
        <v>13670.354</v>
      </c>
      <c r="L61" s="21"/>
      <c r="M61" s="47" t="s">
        <v>577</v>
      </c>
      <c r="N61" s="27"/>
      <c r="O61" s="40">
        <f>K61-M61</f>
        <v>13670.354</v>
      </c>
      <c r="P61" s="21"/>
    </row>
    <row r="62" spans="3:16" ht="15.75" customHeight="1">
      <c r="C62" s="43" t="s">
        <v>100</v>
      </c>
      <c r="D62" s="48" t="s">
        <v>606</v>
      </c>
      <c r="E62" s="144" t="s">
        <v>140</v>
      </c>
      <c r="F62" s="158"/>
      <c r="G62" s="52">
        <v>36950</v>
      </c>
      <c r="H62" s="46">
        <v>37680</v>
      </c>
      <c r="I62" s="3"/>
      <c r="J62" s="34" t="s">
        <v>599</v>
      </c>
      <c r="K62" s="40">
        <v>14685.095</v>
      </c>
      <c r="L62" s="21"/>
      <c r="M62" s="47" t="s">
        <v>577</v>
      </c>
      <c r="N62" s="27"/>
      <c r="O62" s="40">
        <f>K62-M62</f>
        <v>14685.095</v>
      </c>
      <c r="P62" s="21"/>
    </row>
    <row r="63" spans="3:16" ht="15.75" customHeight="1">
      <c r="C63" s="43" t="s">
        <v>454</v>
      </c>
      <c r="D63" s="48" t="s">
        <v>587</v>
      </c>
      <c r="E63" s="89" t="s">
        <v>598</v>
      </c>
      <c r="F63" s="158"/>
      <c r="G63" s="52">
        <v>35885</v>
      </c>
      <c r="H63" s="46">
        <v>37711</v>
      </c>
      <c r="I63" s="3"/>
      <c r="J63" s="34" t="s">
        <v>601</v>
      </c>
      <c r="K63" s="40">
        <v>14172.892</v>
      </c>
      <c r="L63" s="21"/>
      <c r="M63" s="47" t="s">
        <v>577</v>
      </c>
      <c r="N63" s="27"/>
      <c r="O63" s="40">
        <f aca="true" t="shared" si="1" ref="O63:O70">K63-M63</f>
        <v>14172.892</v>
      </c>
      <c r="P63" s="21"/>
    </row>
    <row r="64" spans="3:16" ht="15.75" customHeight="1">
      <c r="C64" s="43" t="s">
        <v>460</v>
      </c>
      <c r="D64" s="48" t="s">
        <v>613</v>
      </c>
      <c r="E64" s="89" t="s">
        <v>639</v>
      </c>
      <c r="F64" s="158"/>
      <c r="G64" s="52">
        <v>36983</v>
      </c>
      <c r="H64" s="46">
        <v>37711</v>
      </c>
      <c r="I64" s="3"/>
      <c r="J64" s="34" t="s">
        <v>601</v>
      </c>
      <c r="K64" s="40">
        <v>14674.853</v>
      </c>
      <c r="L64" s="21"/>
      <c r="M64" s="47" t="s">
        <v>577</v>
      </c>
      <c r="N64" s="27"/>
      <c r="O64" s="40">
        <f t="shared" si="1"/>
        <v>14674.853</v>
      </c>
      <c r="P64" s="21"/>
    </row>
    <row r="65" spans="3:16" ht="17.25" customHeight="1">
      <c r="C65" s="43" t="s">
        <v>166</v>
      </c>
      <c r="D65" s="48" t="s">
        <v>603</v>
      </c>
      <c r="E65" s="89" t="s">
        <v>586</v>
      </c>
      <c r="F65" s="158"/>
      <c r="G65" s="52">
        <v>35915</v>
      </c>
      <c r="H65" s="46">
        <v>37741</v>
      </c>
      <c r="I65" s="3"/>
      <c r="J65" s="34" t="s">
        <v>608</v>
      </c>
      <c r="K65" s="40">
        <v>12573.248</v>
      </c>
      <c r="L65" s="21"/>
      <c r="M65" s="47" t="s">
        <v>577</v>
      </c>
      <c r="N65" s="27"/>
      <c r="O65" s="40">
        <f t="shared" si="1"/>
        <v>12573.248</v>
      </c>
      <c r="P65" s="21"/>
    </row>
    <row r="66" spans="3:16" ht="17.25" customHeight="1">
      <c r="C66" s="43" t="s">
        <v>461</v>
      </c>
      <c r="D66" s="48" t="s">
        <v>616</v>
      </c>
      <c r="E66" s="89" t="s">
        <v>462</v>
      </c>
      <c r="F66" s="158"/>
      <c r="G66" s="52">
        <v>37011</v>
      </c>
      <c r="H66" s="46">
        <v>37741</v>
      </c>
      <c r="I66" s="3"/>
      <c r="J66" s="34" t="s">
        <v>608</v>
      </c>
      <c r="K66" s="40">
        <v>13338.528</v>
      </c>
      <c r="L66" s="21"/>
      <c r="M66" s="47" t="s">
        <v>577</v>
      </c>
      <c r="N66" s="27"/>
      <c r="O66" s="40">
        <f t="shared" si="1"/>
        <v>13338.528</v>
      </c>
      <c r="P66" s="21"/>
    </row>
    <row r="67" spans="3:16" ht="15.75" customHeight="1">
      <c r="C67" s="43" t="s">
        <v>167</v>
      </c>
      <c r="D67" s="48" t="s">
        <v>618</v>
      </c>
      <c r="E67" s="89" t="s">
        <v>598</v>
      </c>
      <c r="F67" s="158"/>
      <c r="G67" s="52">
        <v>35947</v>
      </c>
      <c r="H67" s="46">
        <v>37772</v>
      </c>
      <c r="I67" s="3"/>
      <c r="J67" s="34" t="s">
        <v>615</v>
      </c>
      <c r="K67" s="40">
        <v>13132.243</v>
      </c>
      <c r="L67" s="21"/>
      <c r="M67" s="47" t="s">
        <v>577</v>
      </c>
      <c r="N67" s="27"/>
      <c r="O67" s="40">
        <f t="shared" si="1"/>
        <v>13132.243</v>
      </c>
      <c r="P67" s="21"/>
    </row>
    <row r="68" spans="3:16" ht="15.75" customHeight="1">
      <c r="C68" s="43" t="s">
        <v>684</v>
      </c>
      <c r="D68" s="48" t="s">
        <v>619</v>
      </c>
      <c r="E68" s="89" t="s">
        <v>639</v>
      </c>
      <c r="F68" s="158"/>
      <c r="G68" s="52">
        <v>37042</v>
      </c>
      <c r="H68" s="46">
        <v>37772</v>
      </c>
      <c r="I68" s="3"/>
      <c r="J68" s="34" t="s">
        <v>615</v>
      </c>
      <c r="K68" s="40">
        <v>13331.937</v>
      </c>
      <c r="L68" s="21"/>
      <c r="M68" s="47" t="s">
        <v>577</v>
      </c>
      <c r="N68" s="27"/>
      <c r="O68" s="40">
        <f t="shared" si="1"/>
        <v>13331.937</v>
      </c>
      <c r="P68" s="21"/>
    </row>
    <row r="69" spans="3:16" ht="15.75" customHeight="1">
      <c r="C69" s="88" t="s">
        <v>168</v>
      </c>
      <c r="D69" s="89" t="s">
        <v>626</v>
      </c>
      <c r="E69" s="89" t="s">
        <v>633</v>
      </c>
      <c r="F69" s="158"/>
      <c r="G69" s="52">
        <v>35976</v>
      </c>
      <c r="H69" s="46">
        <v>37802</v>
      </c>
      <c r="I69" s="3"/>
      <c r="J69" s="136" t="s">
        <v>585</v>
      </c>
      <c r="K69" s="40">
        <v>13126.779</v>
      </c>
      <c r="L69" s="21"/>
      <c r="M69" s="47" t="s">
        <v>577</v>
      </c>
      <c r="N69" s="27"/>
      <c r="O69" s="40">
        <f t="shared" si="1"/>
        <v>13126.779</v>
      </c>
      <c r="P69" s="21"/>
    </row>
    <row r="70" spans="3:16" ht="15.75" customHeight="1">
      <c r="C70" s="88" t="s">
        <v>87</v>
      </c>
      <c r="D70" s="89" t="s">
        <v>623</v>
      </c>
      <c r="E70" s="89" t="s">
        <v>312</v>
      </c>
      <c r="F70" s="158"/>
      <c r="G70" s="52">
        <v>37074</v>
      </c>
      <c r="H70" s="46">
        <v>37802</v>
      </c>
      <c r="I70" s="3"/>
      <c r="J70" s="34" t="s">
        <v>585</v>
      </c>
      <c r="K70" s="40">
        <v>14671.07</v>
      </c>
      <c r="L70" s="21"/>
      <c r="M70" s="47" t="s">
        <v>577</v>
      </c>
      <c r="N70" s="27"/>
      <c r="O70" s="40">
        <f t="shared" si="1"/>
        <v>14671.07</v>
      </c>
      <c r="P70" s="21"/>
    </row>
    <row r="71" spans="3:16" ht="15.75" customHeight="1">
      <c r="C71" s="88" t="s">
        <v>84</v>
      </c>
      <c r="D71" s="89" t="s">
        <v>624</v>
      </c>
      <c r="E71" s="89" t="s">
        <v>312</v>
      </c>
      <c r="F71" s="158"/>
      <c r="G71" s="52">
        <v>37103</v>
      </c>
      <c r="H71" s="46">
        <v>37833</v>
      </c>
      <c r="I71" s="3"/>
      <c r="J71" s="136" t="s">
        <v>591</v>
      </c>
      <c r="K71" s="40">
        <v>16003.27</v>
      </c>
      <c r="L71" s="21"/>
      <c r="M71" s="47" t="s">
        <v>577</v>
      </c>
      <c r="N71" s="27"/>
      <c r="O71" s="40">
        <f aca="true" t="shared" si="2" ref="O71:O77">K71-M71</f>
        <v>16003.27</v>
      </c>
      <c r="P71" s="21"/>
    </row>
    <row r="72" spans="3:16" ht="15.75" customHeight="1">
      <c r="C72" s="43" t="s">
        <v>665</v>
      </c>
      <c r="D72" s="48" t="s">
        <v>609</v>
      </c>
      <c r="E72" s="48" t="s">
        <v>586</v>
      </c>
      <c r="F72" s="158"/>
      <c r="G72" s="52">
        <v>34197</v>
      </c>
      <c r="H72" s="46">
        <v>37848</v>
      </c>
      <c r="I72" s="3"/>
      <c r="J72" s="34" t="s">
        <v>595</v>
      </c>
      <c r="K72" s="40">
        <v>28011.028</v>
      </c>
      <c r="L72" s="21"/>
      <c r="M72" s="47" t="s">
        <v>577</v>
      </c>
      <c r="N72" s="27"/>
      <c r="O72" s="40">
        <f t="shared" si="2"/>
        <v>28011.028</v>
      </c>
      <c r="P72" s="21"/>
    </row>
    <row r="73" spans="3:16" ht="15.75" customHeight="1">
      <c r="C73" s="88" t="s">
        <v>170</v>
      </c>
      <c r="D73" s="89" t="s">
        <v>590</v>
      </c>
      <c r="E73" s="89" t="s">
        <v>637</v>
      </c>
      <c r="F73" s="158"/>
      <c r="G73" s="52">
        <v>36024</v>
      </c>
      <c r="H73" s="46">
        <v>37848</v>
      </c>
      <c r="I73" s="3"/>
      <c r="J73" s="34" t="s">
        <v>595</v>
      </c>
      <c r="K73" s="40">
        <v>19852.263</v>
      </c>
      <c r="L73" s="21"/>
      <c r="M73" s="47" t="s">
        <v>577</v>
      </c>
      <c r="N73" s="27"/>
      <c r="O73" s="40">
        <f t="shared" si="2"/>
        <v>19852.263</v>
      </c>
      <c r="P73" s="21"/>
    </row>
    <row r="74" spans="3:16" ht="15.75" customHeight="1">
      <c r="C74" s="43" t="s">
        <v>66</v>
      </c>
      <c r="D74" s="48" t="s">
        <v>627</v>
      </c>
      <c r="E74" s="89" t="s">
        <v>671</v>
      </c>
      <c r="F74" s="158"/>
      <c r="G74" s="52">
        <v>37134</v>
      </c>
      <c r="H74" s="46">
        <v>37864</v>
      </c>
      <c r="I74" s="3"/>
      <c r="J74" s="34" t="s">
        <v>595</v>
      </c>
      <c r="K74" s="40">
        <v>18665.038</v>
      </c>
      <c r="L74" s="21"/>
      <c r="M74" s="47" t="s">
        <v>577</v>
      </c>
      <c r="N74" s="27"/>
      <c r="O74" s="40">
        <f t="shared" si="2"/>
        <v>18665.038</v>
      </c>
      <c r="P74" s="21"/>
    </row>
    <row r="75" spans="3:16" ht="15.75" customHeight="1">
      <c r="C75" s="43" t="s">
        <v>726</v>
      </c>
      <c r="D75" s="48" t="s">
        <v>632</v>
      </c>
      <c r="E75" s="144" t="s">
        <v>728</v>
      </c>
      <c r="F75" s="158"/>
      <c r="G75" s="52">
        <v>37165</v>
      </c>
      <c r="H75" s="46">
        <v>37894</v>
      </c>
      <c r="I75" s="3"/>
      <c r="J75" s="34" t="s">
        <v>601</v>
      </c>
      <c r="K75" s="40">
        <v>22675.482</v>
      </c>
      <c r="L75" s="21"/>
      <c r="M75" s="47" t="s">
        <v>577</v>
      </c>
      <c r="N75" s="27"/>
      <c r="O75" s="40">
        <f t="shared" si="2"/>
        <v>22675.482</v>
      </c>
      <c r="P75" s="21"/>
    </row>
    <row r="76" spans="3:16" ht="15.75" customHeight="1">
      <c r="C76" s="408" t="s">
        <v>727</v>
      </c>
      <c r="D76" s="48" t="s">
        <v>584</v>
      </c>
      <c r="E76" s="89" t="s">
        <v>728</v>
      </c>
      <c r="F76" s="158"/>
      <c r="G76" s="52">
        <v>37195</v>
      </c>
      <c r="H76" s="46">
        <v>37925</v>
      </c>
      <c r="I76" s="3"/>
      <c r="J76" s="34" t="s">
        <v>608</v>
      </c>
      <c r="K76" s="40">
        <v>25147.96</v>
      </c>
      <c r="L76" s="21"/>
      <c r="M76" s="47" t="s">
        <v>577</v>
      </c>
      <c r="N76" s="27"/>
      <c r="O76" s="40">
        <f t="shared" si="2"/>
        <v>25147.96</v>
      </c>
      <c r="P76" s="21"/>
    </row>
    <row r="77" spans="3:16" ht="15.75" customHeight="1">
      <c r="C77" s="88" t="s">
        <v>833</v>
      </c>
      <c r="D77" s="48" t="s">
        <v>597</v>
      </c>
      <c r="E77" s="89" t="s">
        <v>639</v>
      </c>
      <c r="F77" s="158"/>
      <c r="G77" s="52">
        <v>36115</v>
      </c>
      <c r="H77" s="46">
        <v>37940</v>
      </c>
      <c r="I77" s="3"/>
      <c r="J77" s="34" t="s">
        <v>611</v>
      </c>
      <c r="K77" s="40">
        <v>18625.785</v>
      </c>
      <c r="L77" s="21"/>
      <c r="M77" s="47" t="s">
        <v>577</v>
      </c>
      <c r="N77" s="27"/>
      <c r="O77" s="40">
        <f t="shared" si="2"/>
        <v>18625.785</v>
      </c>
      <c r="P77" s="122"/>
    </row>
    <row r="78" spans="3:16" ht="15.75" customHeight="1">
      <c r="C78" s="43" t="s">
        <v>160</v>
      </c>
      <c r="D78" s="48" t="s">
        <v>596</v>
      </c>
      <c r="E78" s="89" t="s">
        <v>161</v>
      </c>
      <c r="F78" s="158"/>
      <c r="G78" s="52">
        <v>37225</v>
      </c>
      <c r="H78" s="46">
        <v>37955</v>
      </c>
      <c r="I78" s="3"/>
      <c r="J78" s="34" t="s">
        <v>615</v>
      </c>
      <c r="K78" s="40">
        <v>26170.526</v>
      </c>
      <c r="L78" s="21"/>
      <c r="M78" s="47" t="s">
        <v>577</v>
      </c>
      <c r="N78" s="27"/>
      <c r="O78" s="40">
        <f aca="true" t="shared" si="3" ref="O78:O83">K78-M78</f>
        <v>26170.526</v>
      </c>
      <c r="P78" s="21"/>
    </row>
    <row r="79" spans="3:16" ht="15.75" customHeight="1">
      <c r="C79" s="43" t="s">
        <v>276</v>
      </c>
      <c r="D79" s="48" t="s">
        <v>612</v>
      </c>
      <c r="E79" s="89" t="s">
        <v>277</v>
      </c>
      <c r="F79" s="158"/>
      <c r="G79" s="52">
        <v>37256</v>
      </c>
      <c r="H79" s="46">
        <v>37986</v>
      </c>
      <c r="I79" s="3"/>
      <c r="J79" s="136" t="s">
        <v>585</v>
      </c>
      <c r="K79" s="40">
        <v>29666.988</v>
      </c>
      <c r="L79" s="21"/>
      <c r="M79" s="47" t="s">
        <v>577</v>
      </c>
      <c r="N79" s="27"/>
      <c r="O79" s="40">
        <f t="shared" si="3"/>
        <v>29666.988</v>
      </c>
      <c r="P79" s="21"/>
    </row>
    <row r="80" spans="3:16" ht="15.75" customHeight="1">
      <c r="C80" s="88" t="s">
        <v>834</v>
      </c>
      <c r="D80" s="48" t="s">
        <v>590</v>
      </c>
      <c r="E80" s="89">
        <v>3</v>
      </c>
      <c r="F80" s="158"/>
      <c r="G80" s="52">
        <v>37287</v>
      </c>
      <c r="H80" s="46">
        <v>38017</v>
      </c>
      <c r="I80" s="3"/>
      <c r="J80" s="136" t="s">
        <v>71</v>
      </c>
      <c r="K80" s="40">
        <v>30775.555</v>
      </c>
      <c r="L80" s="21"/>
      <c r="M80" s="47" t="s">
        <v>577</v>
      </c>
      <c r="N80" s="27"/>
      <c r="O80" s="40">
        <f t="shared" si="3"/>
        <v>30775.555</v>
      </c>
      <c r="P80" s="21"/>
    </row>
    <row r="81" spans="3:16" ht="15.75" customHeight="1">
      <c r="C81" s="43" t="s">
        <v>172</v>
      </c>
      <c r="D81" s="48" t="s">
        <v>593</v>
      </c>
      <c r="E81" s="48" t="s">
        <v>592</v>
      </c>
      <c r="F81" s="158"/>
      <c r="G81" s="52">
        <v>34380</v>
      </c>
      <c r="H81" s="46">
        <v>38032</v>
      </c>
      <c r="I81" s="3"/>
      <c r="J81" s="34" t="s">
        <v>595</v>
      </c>
      <c r="K81" s="40">
        <v>12955.077</v>
      </c>
      <c r="L81" s="21"/>
      <c r="M81" s="47" t="s">
        <v>577</v>
      </c>
      <c r="N81" s="27"/>
      <c r="O81" s="40">
        <f t="shared" si="3"/>
        <v>12955.077</v>
      </c>
      <c r="P81" s="21"/>
    </row>
    <row r="82" spans="3:16" ht="15.75" customHeight="1">
      <c r="C82" s="43" t="s">
        <v>274</v>
      </c>
      <c r="D82" s="48" t="s">
        <v>587</v>
      </c>
      <c r="E82" s="89" t="s">
        <v>641</v>
      </c>
      <c r="F82" s="158"/>
      <c r="G82" s="52">
        <v>36207</v>
      </c>
      <c r="H82" s="46">
        <v>38032</v>
      </c>
      <c r="I82" s="3"/>
      <c r="J82" s="34" t="s">
        <v>595</v>
      </c>
      <c r="K82" s="40">
        <v>17823.228</v>
      </c>
      <c r="L82" s="21"/>
      <c r="M82" s="47" t="s">
        <v>577</v>
      </c>
      <c r="N82" s="27"/>
      <c r="O82" s="40">
        <f t="shared" si="3"/>
        <v>17823.228</v>
      </c>
      <c r="P82" s="21"/>
    </row>
    <row r="83" spans="3:16" ht="15.75" customHeight="1">
      <c r="C83" s="88" t="s">
        <v>133</v>
      </c>
      <c r="D83" s="48" t="s">
        <v>597</v>
      </c>
      <c r="E83" s="89">
        <v>3</v>
      </c>
      <c r="F83" s="158"/>
      <c r="G83" s="52">
        <v>37315</v>
      </c>
      <c r="H83" s="46">
        <v>38046</v>
      </c>
      <c r="I83" s="3"/>
      <c r="J83" s="34" t="s">
        <v>599</v>
      </c>
      <c r="K83" s="40">
        <v>31746.067</v>
      </c>
      <c r="L83" s="21"/>
      <c r="M83" s="47" t="s">
        <v>577</v>
      </c>
      <c r="N83" s="27"/>
      <c r="O83" s="40">
        <f t="shared" si="3"/>
        <v>31746.067</v>
      </c>
      <c r="P83" s="21"/>
    </row>
    <row r="84" spans="1:16" ht="15.75" customHeight="1" thickBot="1">
      <c r="A84" s="101"/>
      <c r="B84" s="101"/>
      <c r="C84" s="174"/>
      <c r="D84" s="175"/>
      <c r="E84" s="175"/>
      <c r="F84" s="176"/>
      <c r="G84" s="137"/>
      <c r="H84" s="138"/>
      <c r="I84" s="131"/>
      <c r="J84" s="175"/>
      <c r="K84" s="104"/>
      <c r="L84" s="104"/>
      <c r="M84" s="105"/>
      <c r="N84" s="105"/>
      <c r="O84" s="104"/>
      <c r="P84" s="104"/>
    </row>
    <row r="85" spans="1:16" ht="16.5" thickTop="1">
      <c r="A85" s="95"/>
      <c r="B85" s="2" t="s">
        <v>542</v>
      </c>
      <c r="C85" s="2"/>
      <c r="D85" s="3"/>
      <c r="E85" s="3"/>
      <c r="F85" s="3"/>
      <c r="G85" s="3"/>
      <c r="H85" s="3"/>
      <c r="I85" s="29"/>
      <c r="J85" s="3"/>
      <c r="K85" s="3"/>
      <c r="L85" s="3"/>
      <c r="M85" s="3"/>
      <c r="N85" s="3"/>
      <c r="O85" s="3"/>
      <c r="P85" s="96">
        <v>3</v>
      </c>
    </row>
    <row r="86" spans="1:16" ht="10.5" customHeight="1" thickBot="1">
      <c r="A86" s="2"/>
      <c r="B86" s="2"/>
      <c r="C86" s="2"/>
      <c r="D86" s="3"/>
      <c r="E86" s="3"/>
      <c r="F86" s="3"/>
      <c r="G86" s="3"/>
      <c r="H86" s="3"/>
      <c r="I86" s="29"/>
      <c r="K86" s="3"/>
      <c r="L86" s="3"/>
      <c r="M86" s="3"/>
      <c r="N86" s="3"/>
      <c r="O86" s="3"/>
      <c r="P86" s="2"/>
    </row>
    <row r="87" spans="1:16" ht="15.75" customHeight="1" thickTop="1">
      <c r="A87" s="32"/>
      <c r="B87" s="32"/>
      <c r="C87" s="32"/>
      <c r="D87" s="32"/>
      <c r="E87" s="32"/>
      <c r="F87" s="32"/>
      <c r="G87" s="26"/>
      <c r="H87" s="26"/>
      <c r="I87" s="33"/>
      <c r="J87" s="67"/>
      <c r="K87" s="26"/>
      <c r="L87" s="32"/>
      <c r="M87" s="32"/>
      <c r="N87" s="32"/>
      <c r="O87" s="32"/>
      <c r="P87" s="32"/>
    </row>
    <row r="88" spans="3:16" ht="15.75" customHeight="1">
      <c r="C88" s="48"/>
      <c r="G88" s="16" t="s">
        <v>563</v>
      </c>
      <c r="H88" s="16" t="s">
        <v>564</v>
      </c>
      <c r="I88" s="29"/>
      <c r="J88" s="34" t="s">
        <v>565</v>
      </c>
      <c r="K88" s="16" t="s">
        <v>566</v>
      </c>
      <c r="L88" s="3"/>
      <c r="M88" s="3"/>
      <c r="N88" s="3"/>
      <c r="O88" s="3"/>
      <c r="P88" s="3"/>
    </row>
    <row r="89" spans="1:11" ht="15.75" customHeight="1">
      <c r="A89" s="3" t="s">
        <v>567</v>
      </c>
      <c r="B89" s="3"/>
      <c r="C89" s="3"/>
      <c r="D89" s="3"/>
      <c r="E89" s="3"/>
      <c r="F89" s="3"/>
      <c r="G89" s="16" t="s">
        <v>568</v>
      </c>
      <c r="H89" s="16" t="s">
        <v>569</v>
      </c>
      <c r="I89" s="29"/>
      <c r="J89" s="34" t="s">
        <v>570</v>
      </c>
      <c r="K89" s="14"/>
    </row>
    <row r="90" spans="1:16" ht="16.5" customHeight="1">
      <c r="A90" s="15"/>
      <c r="B90" s="15"/>
      <c r="C90" s="15"/>
      <c r="D90" s="15"/>
      <c r="E90" s="15"/>
      <c r="F90" s="15"/>
      <c r="G90" s="35"/>
      <c r="H90" s="35"/>
      <c r="I90" s="36"/>
      <c r="J90" s="61"/>
      <c r="K90" s="37" t="s">
        <v>571</v>
      </c>
      <c r="L90" s="38"/>
      <c r="M90" s="37" t="s">
        <v>572</v>
      </c>
      <c r="N90" s="38"/>
      <c r="O90" s="37" t="s">
        <v>531</v>
      </c>
      <c r="P90" s="38"/>
    </row>
    <row r="91" spans="7:15" ht="15.75" customHeight="1">
      <c r="G91" s="14"/>
      <c r="H91" s="14"/>
      <c r="I91" s="31"/>
      <c r="J91" s="34"/>
      <c r="K91" s="14"/>
      <c r="M91" s="14"/>
      <c r="O91" s="14"/>
    </row>
    <row r="92" spans="1:16" ht="18" customHeight="1">
      <c r="A92" s="60" t="s">
        <v>421</v>
      </c>
      <c r="B92" s="60"/>
      <c r="G92" s="18"/>
      <c r="H92" s="18"/>
      <c r="I92" s="39"/>
      <c r="J92" s="68"/>
      <c r="K92" s="14"/>
      <c r="M92" s="14"/>
      <c r="O92" s="40"/>
      <c r="P92" s="21"/>
    </row>
    <row r="93" spans="2:16" ht="17.25" customHeight="1">
      <c r="B93" s="9" t="s">
        <v>575</v>
      </c>
      <c r="D93" s="3" t="s">
        <v>582</v>
      </c>
      <c r="E93" s="3" t="s">
        <v>583</v>
      </c>
      <c r="F93" s="3"/>
      <c r="G93" s="70"/>
      <c r="I93" s="42"/>
      <c r="J93" s="68"/>
      <c r="K93" s="14"/>
      <c r="M93" s="14"/>
      <c r="O93" s="40"/>
      <c r="P93" s="21"/>
    </row>
    <row r="94" spans="3:16" ht="15.75" customHeight="1">
      <c r="C94" s="88" t="s">
        <v>858</v>
      </c>
      <c r="D94" s="48" t="s">
        <v>600</v>
      </c>
      <c r="E94" s="89" t="s">
        <v>671</v>
      </c>
      <c r="F94" s="158"/>
      <c r="G94" s="52">
        <v>37347</v>
      </c>
      <c r="H94" s="46">
        <v>38077</v>
      </c>
      <c r="I94" s="3"/>
      <c r="J94" s="34" t="s">
        <v>505</v>
      </c>
      <c r="K94" s="40">
        <v>32873.508</v>
      </c>
      <c r="L94" s="21"/>
      <c r="M94" s="47" t="s">
        <v>577</v>
      </c>
      <c r="N94" s="27"/>
      <c r="O94" s="40">
        <f>K94-M94</f>
        <v>32873.508</v>
      </c>
      <c r="P94" s="21"/>
    </row>
    <row r="95" spans="3:16" ht="15.75" customHeight="1">
      <c r="C95" s="88" t="s">
        <v>503</v>
      </c>
      <c r="D95" s="48" t="s">
        <v>606</v>
      </c>
      <c r="E95" s="89" t="s">
        <v>672</v>
      </c>
      <c r="F95" s="158"/>
      <c r="G95" s="52">
        <v>37376</v>
      </c>
      <c r="H95" s="46">
        <v>38107</v>
      </c>
      <c r="I95" s="3"/>
      <c r="J95" s="34" t="s">
        <v>504</v>
      </c>
      <c r="K95" s="40">
        <v>32654.971</v>
      </c>
      <c r="L95" s="21"/>
      <c r="M95" s="47" t="s">
        <v>577</v>
      </c>
      <c r="N95" s="27"/>
      <c r="O95" s="40">
        <f>K95-M95</f>
        <v>32654.971</v>
      </c>
      <c r="P95" s="21"/>
    </row>
    <row r="96" spans="3:16" ht="15.75" customHeight="1">
      <c r="C96" s="43" t="s">
        <v>859</v>
      </c>
      <c r="D96" s="48" t="s">
        <v>609</v>
      </c>
      <c r="E96" s="48" t="s">
        <v>640</v>
      </c>
      <c r="F96" s="158"/>
      <c r="G96" s="52">
        <v>34470</v>
      </c>
      <c r="H96" s="46">
        <v>38122</v>
      </c>
      <c r="I96" s="3"/>
      <c r="J96" s="34" t="s">
        <v>611</v>
      </c>
      <c r="K96" s="40">
        <v>14440.372</v>
      </c>
      <c r="L96" s="21"/>
      <c r="M96" s="47" t="s">
        <v>577</v>
      </c>
      <c r="N96" s="27"/>
      <c r="O96" s="40">
        <f>K96-M96</f>
        <v>14440.372</v>
      </c>
      <c r="P96" s="21"/>
    </row>
    <row r="97" spans="3:16" ht="15.75" customHeight="1">
      <c r="C97" s="43" t="s">
        <v>173</v>
      </c>
      <c r="D97" s="48" t="s">
        <v>603</v>
      </c>
      <c r="E97" s="155" t="s">
        <v>637</v>
      </c>
      <c r="F97" s="158"/>
      <c r="G97" s="52">
        <v>36297</v>
      </c>
      <c r="H97" s="46">
        <v>38122</v>
      </c>
      <c r="I97" s="3"/>
      <c r="J97" s="34" t="s">
        <v>611</v>
      </c>
      <c r="K97" s="40">
        <v>18925.383</v>
      </c>
      <c r="L97" s="21"/>
      <c r="M97" s="47" t="s">
        <v>577</v>
      </c>
      <c r="N97" s="27"/>
      <c r="O97" s="40">
        <f>K97-M97</f>
        <v>18925.383</v>
      </c>
      <c r="P97" s="21"/>
    </row>
    <row r="98" spans="3:16" ht="15.75" customHeight="1">
      <c r="C98" s="43" t="s">
        <v>12</v>
      </c>
      <c r="D98" s="48" t="s">
        <v>613</v>
      </c>
      <c r="E98" s="89" t="s">
        <v>277</v>
      </c>
      <c r="F98" s="158"/>
      <c r="G98" s="52">
        <v>37407</v>
      </c>
      <c r="H98" s="90">
        <v>38138</v>
      </c>
      <c r="I98" s="3"/>
      <c r="J98" s="34" t="s">
        <v>615</v>
      </c>
      <c r="K98" s="40">
        <v>33297.4</v>
      </c>
      <c r="L98" s="21"/>
      <c r="M98" s="47" t="s">
        <v>577</v>
      </c>
      <c r="N98" s="27"/>
      <c r="O98" s="40">
        <f>K98+M98</f>
        <v>33297.4</v>
      </c>
      <c r="P98" s="21"/>
    </row>
    <row r="99" spans="3:16" ht="15.75" customHeight="1">
      <c r="C99" s="43" t="s">
        <v>862</v>
      </c>
      <c r="D99" s="48" t="s">
        <v>616</v>
      </c>
      <c r="E99" s="89" t="s">
        <v>865</v>
      </c>
      <c r="F99" s="158"/>
      <c r="G99" s="52">
        <v>37438</v>
      </c>
      <c r="H99" s="46">
        <v>38168</v>
      </c>
      <c r="I99" s="3"/>
      <c r="J99" s="136" t="s">
        <v>585</v>
      </c>
      <c r="K99" s="40">
        <v>34050.042</v>
      </c>
      <c r="L99" s="21"/>
      <c r="M99" s="47" t="s">
        <v>577</v>
      </c>
      <c r="N99" s="27"/>
      <c r="O99" s="40">
        <f aca="true" t="shared" si="4" ref="O99:O117">K99-M99</f>
        <v>34050.042</v>
      </c>
      <c r="P99" s="21"/>
    </row>
    <row r="100" spans="3:16" ht="15.75" customHeight="1">
      <c r="C100" s="43" t="s">
        <v>819</v>
      </c>
      <c r="D100" s="48" t="s">
        <v>619</v>
      </c>
      <c r="E100" s="89" t="s">
        <v>815</v>
      </c>
      <c r="F100" s="158"/>
      <c r="G100" s="52">
        <v>37468</v>
      </c>
      <c r="H100" s="46">
        <v>38199</v>
      </c>
      <c r="I100" s="3"/>
      <c r="J100" s="136" t="s">
        <v>591</v>
      </c>
      <c r="K100" s="40">
        <v>33250.01</v>
      </c>
      <c r="L100" s="21"/>
      <c r="M100" s="47" t="s">
        <v>577</v>
      </c>
      <c r="N100" s="27"/>
      <c r="O100" s="40">
        <f t="shared" si="4"/>
        <v>33250.01</v>
      </c>
      <c r="P100" s="21"/>
    </row>
    <row r="101" spans="3:16" ht="15.75" customHeight="1">
      <c r="C101" s="43" t="s">
        <v>13</v>
      </c>
      <c r="D101" s="48" t="s">
        <v>621</v>
      </c>
      <c r="E101" s="48" t="s">
        <v>640</v>
      </c>
      <c r="F101" s="158"/>
      <c r="G101" s="52">
        <v>34561</v>
      </c>
      <c r="H101" s="46">
        <v>38214</v>
      </c>
      <c r="I101" s="3"/>
      <c r="J101" s="34" t="s">
        <v>595</v>
      </c>
      <c r="K101" s="40">
        <v>13346.467</v>
      </c>
      <c r="L101" s="21"/>
      <c r="M101" s="47" t="s">
        <v>577</v>
      </c>
      <c r="N101" s="27"/>
      <c r="O101" s="40">
        <f t="shared" si="4"/>
        <v>13346.467</v>
      </c>
      <c r="P101" s="21"/>
    </row>
    <row r="102" spans="3:16" ht="15.75" customHeight="1">
      <c r="C102" s="43" t="s">
        <v>174</v>
      </c>
      <c r="D102" s="48" t="s">
        <v>618</v>
      </c>
      <c r="E102" s="89" t="s">
        <v>617</v>
      </c>
      <c r="F102" s="158"/>
      <c r="G102" s="52">
        <v>36388</v>
      </c>
      <c r="H102" s="46">
        <v>38214</v>
      </c>
      <c r="I102" s="3"/>
      <c r="J102" s="34" t="s">
        <v>595</v>
      </c>
      <c r="K102" s="40">
        <v>18089.806</v>
      </c>
      <c r="L102" s="21"/>
      <c r="M102" s="47" t="s">
        <v>577</v>
      </c>
      <c r="N102" s="27"/>
      <c r="O102" s="40">
        <f t="shared" si="4"/>
        <v>18089.806</v>
      </c>
      <c r="P102" s="21"/>
    </row>
    <row r="103" spans="3:16" ht="15.75" customHeight="1">
      <c r="C103" s="43" t="s">
        <v>793</v>
      </c>
      <c r="D103" s="48" t="s">
        <v>623</v>
      </c>
      <c r="E103" s="89" t="s">
        <v>794</v>
      </c>
      <c r="F103" s="158"/>
      <c r="G103" s="52">
        <v>37502</v>
      </c>
      <c r="H103" s="90">
        <v>38230</v>
      </c>
      <c r="I103" s="3"/>
      <c r="J103" s="34" t="s">
        <v>599</v>
      </c>
      <c r="K103" s="40">
        <v>34541.397</v>
      </c>
      <c r="L103" s="21"/>
      <c r="M103" s="47" t="s">
        <v>577</v>
      </c>
      <c r="N103" s="27"/>
      <c r="O103" s="40">
        <f>K103+M103</f>
        <v>34541.397</v>
      </c>
      <c r="P103" s="21"/>
    </row>
    <row r="104" spans="3:16" ht="15.75" customHeight="1">
      <c r="C104" s="43" t="s">
        <v>796</v>
      </c>
      <c r="D104" s="48" t="s">
        <v>624</v>
      </c>
      <c r="E104" s="89" t="s">
        <v>797</v>
      </c>
      <c r="F104" s="158"/>
      <c r="G104" s="52">
        <v>37529</v>
      </c>
      <c r="H104" s="90">
        <v>38260</v>
      </c>
      <c r="I104" s="3"/>
      <c r="J104" s="34" t="s">
        <v>601</v>
      </c>
      <c r="K104" s="40">
        <v>34655.535</v>
      </c>
      <c r="L104" s="21"/>
      <c r="M104" s="47" t="s">
        <v>577</v>
      </c>
      <c r="N104" s="27"/>
      <c r="O104" s="40">
        <f>K104+M104</f>
        <v>34655.535</v>
      </c>
      <c r="P104" s="21"/>
    </row>
    <row r="105" spans="3:16" ht="15.75" customHeight="1">
      <c r="C105" s="43" t="s">
        <v>144</v>
      </c>
      <c r="D105" s="48" t="s">
        <v>627</v>
      </c>
      <c r="E105" s="89" t="s">
        <v>794</v>
      </c>
      <c r="F105" s="158"/>
      <c r="G105" s="52">
        <v>37560</v>
      </c>
      <c r="H105" s="90">
        <v>38291</v>
      </c>
      <c r="I105" s="3"/>
      <c r="J105" s="34" t="s">
        <v>504</v>
      </c>
      <c r="K105" s="40">
        <v>32439.549</v>
      </c>
      <c r="L105" s="21"/>
      <c r="M105" s="47" t="s">
        <v>577</v>
      </c>
      <c r="N105" s="27"/>
      <c r="O105" s="40">
        <f>K105+M105</f>
        <v>32439.549</v>
      </c>
      <c r="P105" s="21"/>
    </row>
    <row r="106" spans="3:16" ht="15.75" customHeight="1">
      <c r="C106" s="43" t="s">
        <v>792</v>
      </c>
      <c r="D106" s="48" t="s">
        <v>630</v>
      </c>
      <c r="E106" s="48" t="s">
        <v>631</v>
      </c>
      <c r="F106" s="158"/>
      <c r="G106" s="52">
        <v>34653</v>
      </c>
      <c r="H106" s="46">
        <v>38306</v>
      </c>
      <c r="I106" s="3"/>
      <c r="J106" s="34" t="s">
        <v>611</v>
      </c>
      <c r="K106" s="40">
        <v>14373.76</v>
      </c>
      <c r="L106" s="21"/>
      <c r="M106" s="47" t="s">
        <v>577</v>
      </c>
      <c r="N106" s="27"/>
      <c r="O106" s="40">
        <f t="shared" si="4"/>
        <v>14373.76</v>
      </c>
      <c r="P106" s="21"/>
    </row>
    <row r="107" spans="3:16" ht="15.75" customHeight="1">
      <c r="C107" s="43" t="s">
        <v>175</v>
      </c>
      <c r="D107" s="48" t="s">
        <v>626</v>
      </c>
      <c r="E107" s="48" t="s">
        <v>592</v>
      </c>
      <c r="F107" s="158"/>
      <c r="G107" s="52">
        <v>36479</v>
      </c>
      <c r="H107" s="46">
        <v>38306</v>
      </c>
      <c r="I107" s="3"/>
      <c r="J107" s="34" t="s">
        <v>611</v>
      </c>
      <c r="K107" s="40">
        <v>32658.145</v>
      </c>
      <c r="L107" s="21"/>
      <c r="M107" s="47" t="s">
        <v>577</v>
      </c>
      <c r="N107" s="27"/>
      <c r="O107" s="40">
        <f t="shared" si="4"/>
        <v>32658.145</v>
      </c>
      <c r="P107" s="21"/>
    </row>
    <row r="108" spans="3:16" ht="15.75" customHeight="1">
      <c r="C108" s="43" t="s">
        <v>88</v>
      </c>
      <c r="D108" s="48" t="s">
        <v>632</v>
      </c>
      <c r="E108" s="48">
        <v>2</v>
      </c>
      <c r="F108" s="158"/>
      <c r="G108" s="52">
        <v>37592</v>
      </c>
      <c r="H108" s="46">
        <v>38321</v>
      </c>
      <c r="I108" s="3"/>
      <c r="J108" s="34" t="s">
        <v>615</v>
      </c>
      <c r="K108" s="40">
        <v>32871.32</v>
      </c>
      <c r="L108" s="21"/>
      <c r="M108" s="47" t="s">
        <v>577</v>
      </c>
      <c r="N108" s="27"/>
      <c r="O108" s="40">
        <f>K108-M108</f>
        <v>32871.32</v>
      </c>
      <c r="P108" s="21"/>
    </row>
    <row r="109" spans="3:16" ht="15.75" customHeight="1">
      <c r="C109" s="43" t="s">
        <v>89</v>
      </c>
      <c r="D109" s="48" t="s">
        <v>584</v>
      </c>
      <c r="E109" s="144" t="s">
        <v>91</v>
      </c>
      <c r="F109" s="158"/>
      <c r="G109" s="52">
        <v>37621</v>
      </c>
      <c r="H109" s="46">
        <v>38352</v>
      </c>
      <c r="I109" s="3"/>
      <c r="J109" s="136" t="s">
        <v>585</v>
      </c>
      <c r="K109" s="40">
        <v>33203.363</v>
      </c>
      <c r="L109" s="21"/>
      <c r="M109" s="47" t="s">
        <v>577</v>
      </c>
      <c r="N109" s="27"/>
      <c r="O109" s="40">
        <f>K109-M109</f>
        <v>33203.363</v>
      </c>
      <c r="P109" s="21"/>
    </row>
    <row r="110" spans="3:16" ht="15.75" customHeight="1">
      <c r="C110" s="43" t="s">
        <v>120</v>
      </c>
      <c r="D110" s="48" t="s">
        <v>618</v>
      </c>
      <c r="E110" s="144" t="s">
        <v>117</v>
      </c>
      <c r="F110" s="158"/>
      <c r="G110" s="52">
        <v>37652</v>
      </c>
      <c r="H110" s="46">
        <v>38383</v>
      </c>
      <c r="I110" s="3"/>
      <c r="J110" s="34" t="s">
        <v>71</v>
      </c>
      <c r="K110" s="40">
        <v>33838.032</v>
      </c>
      <c r="L110" s="21"/>
      <c r="M110" s="47" t="s">
        <v>577</v>
      </c>
      <c r="N110" s="27"/>
      <c r="O110" s="40">
        <f>K110-M110</f>
        <v>33838.032</v>
      </c>
      <c r="P110" s="21"/>
    </row>
    <row r="111" spans="3:16" ht="15.75" customHeight="1">
      <c r="C111" s="43" t="s">
        <v>90</v>
      </c>
      <c r="D111" s="48" t="s">
        <v>593</v>
      </c>
      <c r="E111" s="48" t="s">
        <v>628</v>
      </c>
      <c r="F111" s="158"/>
      <c r="G111" s="52">
        <v>34745</v>
      </c>
      <c r="H111" s="46">
        <v>38398</v>
      </c>
      <c r="I111" s="3"/>
      <c r="J111" s="34" t="s">
        <v>595</v>
      </c>
      <c r="K111" s="40">
        <v>13834.754</v>
      </c>
      <c r="L111" s="21"/>
      <c r="M111" s="47" t="s">
        <v>577</v>
      </c>
      <c r="N111" s="27"/>
      <c r="O111" s="40">
        <f t="shared" si="4"/>
        <v>13834.754</v>
      </c>
      <c r="P111" s="21"/>
    </row>
    <row r="112" spans="3:16" ht="15.75" customHeight="1">
      <c r="C112" s="43" t="s">
        <v>176</v>
      </c>
      <c r="D112" s="48" t="s">
        <v>609</v>
      </c>
      <c r="E112" s="48" t="s">
        <v>607</v>
      </c>
      <c r="F112" s="158"/>
      <c r="G112" s="52">
        <v>34834</v>
      </c>
      <c r="H112" s="46">
        <v>38487</v>
      </c>
      <c r="I112" s="3"/>
      <c r="J112" s="34" t="s">
        <v>611</v>
      </c>
      <c r="K112" s="40">
        <v>14739.504</v>
      </c>
      <c r="L112" s="21"/>
      <c r="M112" s="47" t="s">
        <v>577</v>
      </c>
      <c r="N112" s="27"/>
      <c r="O112" s="40">
        <f t="shared" si="4"/>
        <v>14739.504</v>
      </c>
      <c r="P112" s="21"/>
    </row>
    <row r="113" spans="3:16" ht="15.75" customHeight="1">
      <c r="C113" s="43" t="s">
        <v>177</v>
      </c>
      <c r="D113" s="48" t="s">
        <v>587</v>
      </c>
      <c r="E113" s="89" t="s">
        <v>614</v>
      </c>
      <c r="F113" s="158"/>
      <c r="G113" s="52">
        <v>36661</v>
      </c>
      <c r="H113" s="46">
        <v>38487</v>
      </c>
      <c r="I113" s="3"/>
      <c r="J113" s="34" t="s">
        <v>611</v>
      </c>
      <c r="K113" s="40">
        <v>28562.37</v>
      </c>
      <c r="L113" s="21"/>
      <c r="M113" s="47" t="s">
        <v>577</v>
      </c>
      <c r="N113" s="27"/>
      <c r="O113" s="40">
        <f t="shared" si="4"/>
        <v>28562.37</v>
      </c>
      <c r="P113" s="21"/>
    </row>
    <row r="114" spans="3:16" ht="15.75" customHeight="1">
      <c r="C114" s="43" t="s">
        <v>178</v>
      </c>
      <c r="D114" s="48" t="s">
        <v>621</v>
      </c>
      <c r="E114" s="48" t="s">
        <v>607</v>
      </c>
      <c r="F114" s="158"/>
      <c r="G114" s="52">
        <v>34926</v>
      </c>
      <c r="H114" s="46">
        <v>38579</v>
      </c>
      <c r="I114" s="3"/>
      <c r="J114" s="34" t="s">
        <v>595</v>
      </c>
      <c r="K114" s="40">
        <v>15002.58</v>
      </c>
      <c r="L114" s="21"/>
      <c r="M114" s="47" t="s">
        <v>577</v>
      </c>
      <c r="N114" s="27"/>
      <c r="O114" s="40">
        <f t="shared" si="4"/>
        <v>15002.58</v>
      </c>
      <c r="P114" s="21"/>
    </row>
    <row r="115" spans="3:16" ht="15.75" customHeight="1">
      <c r="C115" s="43" t="s">
        <v>179</v>
      </c>
      <c r="D115" s="48" t="s">
        <v>630</v>
      </c>
      <c r="E115" s="48" t="s">
        <v>592</v>
      </c>
      <c r="F115" s="158"/>
      <c r="G115" s="52">
        <v>35027</v>
      </c>
      <c r="H115" s="46">
        <v>38671</v>
      </c>
      <c r="I115" s="3"/>
      <c r="J115" s="34" t="s">
        <v>611</v>
      </c>
      <c r="K115" s="40">
        <v>15209.92</v>
      </c>
      <c r="L115" s="21"/>
      <c r="M115" s="47" t="s">
        <v>577</v>
      </c>
      <c r="N115" s="27"/>
      <c r="O115" s="40">
        <f t="shared" si="4"/>
        <v>15209.92</v>
      </c>
      <c r="P115" s="21"/>
    </row>
    <row r="116" spans="3:16" ht="15.75" customHeight="1">
      <c r="C116" s="43" t="s">
        <v>180</v>
      </c>
      <c r="D116" s="48" t="s">
        <v>603</v>
      </c>
      <c r="E116" s="89" t="s">
        <v>586</v>
      </c>
      <c r="F116" s="158"/>
      <c r="G116" s="52">
        <v>36845</v>
      </c>
      <c r="H116" s="46">
        <v>38671</v>
      </c>
      <c r="I116" s="3"/>
      <c r="J116" s="34" t="s">
        <v>611</v>
      </c>
      <c r="K116" s="40">
        <v>28062.797</v>
      </c>
      <c r="L116" s="21"/>
      <c r="M116" s="47" t="s">
        <v>577</v>
      </c>
      <c r="N116" s="27"/>
      <c r="O116" s="40">
        <f t="shared" si="4"/>
        <v>28062.797</v>
      </c>
      <c r="P116" s="21"/>
    </row>
    <row r="117" spans="3:16" ht="15.75" customHeight="1">
      <c r="C117" s="43" t="s">
        <v>181</v>
      </c>
      <c r="D117" s="48" t="s">
        <v>593</v>
      </c>
      <c r="E117" s="48" t="s">
        <v>629</v>
      </c>
      <c r="F117" s="158"/>
      <c r="G117" s="52">
        <v>35110</v>
      </c>
      <c r="H117" s="46">
        <v>38763</v>
      </c>
      <c r="I117" s="3"/>
      <c r="J117" s="34" t="s">
        <v>595</v>
      </c>
      <c r="K117" s="40">
        <v>15513.587</v>
      </c>
      <c r="L117" s="21"/>
      <c r="M117" s="47" t="s">
        <v>577</v>
      </c>
      <c r="N117" s="27"/>
      <c r="O117" s="40">
        <f t="shared" si="4"/>
        <v>15513.587</v>
      </c>
      <c r="P117" s="21"/>
    </row>
    <row r="118" spans="3:16" ht="15.75" customHeight="1">
      <c r="C118" s="43" t="s">
        <v>182</v>
      </c>
      <c r="D118" s="48" t="s">
        <v>609</v>
      </c>
      <c r="E118" s="48" t="s">
        <v>620</v>
      </c>
      <c r="F118" s="158"/>
      <c r="G118" s="52">
        <v>35200</v>
      </c>
      <c r="H118" s="46">
        <v>38852</v>
      </c>
      <c r="I118" s="3"/>
      <c r="J118" s="34" t="s">
        <v>611</v>
      </c>
      <c r="K118" s="40">
        <v>16015.475</v>
      </c>
      <c r="L118" s="21"/>
      <c r="M118" s="47" t="s">
        <v>577</v>
      </c>
      <c r="N118" s="27"/>
      <c r="O118" s="40">
        <f aca="true" t="shared" si="5" ref="O118:O131">K118+M118</f>
        <v>16015.475</v>
      </c>
      <c r="P118" s="21"/>
    </row>
    <row r="119" spans="3:16" ht="15.75" customHeight="1">
      <c r="C119" s="43" t="s">
        <v>78</v>
      </c>
      <c r="D119" s="48" t="s">
        <v>587</v>
      </c>
      <c r="E119" s="89" t="s">
        <v>140</v>
      </c>
      <c r="F119" s="158"/>
      <c r="G119" s="52">
        <v>37026</v>
      </c>
      <c r="H119" s="46">
        <v>38852</v>
      </c>
      <c r="I119" s="3"/>
      <c r="J119" s="34" t="s">
        <v>611</v>
      </c>
      <c r="K119" s="40">
        <v>27797.852</v>
      </c>
      <c r="L119" s="21"/>
      <c r="M119" s="47" t="s">
        <v>577</v>
      </c>
      <c r="N119" s="27"/>
      <c r="O119" s="40">
        <f>K119+M119</f>
        <v>27797.852</v>
      </c>
      <c r="P119" s="21"/>
    </row>
    <row r="120" spans="3:16" ht="15.75" customHeight="1">
      <c r="C120" s="43" t="s">
        <v>183</v>
      </c>
      <c r="D120" s="48" t="s">
        <v>621</v>
      </c>
      <c r="E120" s="48" t="s">
        <v>604</v>
      </c>
      <c r="F120" s="158"/>
      <c r="G120" s="52">
        <v>35261</v>
      </c>
      <c r="H120" s="46">
        <v>38913</v>
      </c>
      <c r="I120" s="3"/>
      <c r="J120" s="34" t="s">
        <v>589</v>
      </c>
      <c r="K120" s="40">
        <v>22740.446</v>
      </c>
      <c r="L120" s="21"/>
      <c r="M120" s="47" t="s">
        <v>577</v>
      </c>
      <c r="N120" s="27"/>
      <c r="O120" s="40">
        <f t="shared" si="5"/>
        <v>22740.446</v>
      </c>
      <c r="P120" s="21"/>
    </row>
    <row r="121" spans="3:16" ht="15.75" customHeight="1">
      <c r="C121" s="43" t="s">
        <v>184</v>
      </c>
      <c r="D121" s="48" t="s">
        <v>630</v>
      </c>
      <c r="E121" s="48" t="s">
        <v>607</v>
      </c>
      <c r="F121" s="158"/>
      <c r="G121" s="52">
        <v>35353</v>
      </c>
      <c r="H121" s="90">
        <v>39005</v>
      </c>
      <c r="I121" s="3"/>
      <c r="J121" s="34" t="s">
        <v>605</v>
      </c>
      <c r="K121" s="40">
        <v>22459.675</v>
      </c>
      <c r="L121" s="21"/>
      <c r="M121" s="47" t="s">
        <v>577</v>
      </c>
      <c r="N121" s="27"/>
      <c r="O121" s="40">
        <f t="shared" si="5"/>
        <v>22459.675</v>
      </c>
      <c r="P121" s="21"/>
    </row>
    <row r="122" spans="3:16" ht="15.75" customHeight="1">
      <c r="C122" s="43" t="s">
        <v>755</v>
      </c>
      <c r="D122" s="48" t="s">
        <v>603</v>
      </c>
      <c r="E122" s="144" t="s">
        <v>680</v>
      </c>
      <c r="F122" s="158"/>
      <c r="G122" s="52">
        <v>37210</v>
      </c>
      <c r="H122" s="90">
        <v>39036</v>
      </c>
      <c r="I122" s="3"/>
      <c r="J122" s="34" t="s">
        <v>611</v>
      </c>
      <c r="K122" s="40">
        <v>35380.129</v>
      </c>
      <c r="L122" s="21"/>
      <c r="M122" s="47" t="s">
        <v>577</v>
      </c>
      <c r="N122" s="27"/>
      <c r="O122" s="40">
        <f>K122+M122</f>
        <v>35380.129</v>
      </c>
      <c r="P122" s="21"/>
    </row>
    <row r="123" spans="3:16" ht="15.75" customHeight="1">
      <c r="C123" s="43" t="s">
        <v>185</v>
      </c>
      <c r="D123" s="48" t="s">
        <v>609</v>
      </c>
      <c r="E123" s="48" t="s">
        <v>602</v>
      </c>
      <c r="F123" s="158"/>
      <c r="G123" s="52">
        <v>35479</v>
      </c>
      <c r="H123" s="90">
        <v>39128</v>
      </c>
      <c r="I123" s="3"/>
      <c r="J123" s="34" t="s">
        <v>595</v>
      </c>
      <c r="K123" s="40">
        <v>13103.678</v>
      </c>
      <c r="L123" s="21"/>
      <c r="M123" s="47" t="s">
        <v>577</v>
      </c>
      <c r="N123" s="27"/>
      <c r="O123" s="40">
        <f t="shared" si="5"/>
        <v>13103.678</v>
      </c>
      <c r="P123" s="21"/>
    </row>
    <row r="124" spans="3:16" ht="15.75" customHeight="1">
      <c r="C124" s="43" t="s">
        <v>186</v>
      </c>
      <c r="D124" s="48" t="s">
        <v>621</v>
      </c>
      <c r="E124" s="48" t="s">
        <v>638</v>
      </c>
      <c r="F124" s="158"/>
      <c r="G124" s="52">
        <v>35565</v>
      </c>
      <c r="H124" s="90">
        <v>39217</v>
      </c>
      <c r="I124" s="3"/>
      <c r="J124" s="34" t="s">
        <v>611</v>
      </c>
      <c r="K124" s="40">
        <v>13958.186</v>
      </c>
      <c r="L124" s="21"/>
      <c r="M124" s="47" t="s">
        <v>577</v>
      </c>
      <c r="N124" s="27"/>
      <c r="O124" s="40">
        <f t="shared" si="5"/>
        <v>13958.186</v>
      </c>
      <c r="P124" s="21"/>
    </row>
    <row r="125" spans="3:16" ht="15.75" customHeight="1">
      <c r="C125" s="43" t="s">
        <v>856</v>
      </c>
      <c r="D125" s="48" t="s">
        <v>587</v>
      </c>
      <c r="E125" s="89" t="s">
        <v>860</v>
      </c>
      <c r="F125" s="158"/>
      <c r="G125" s="52">
        <v>37391</v>
      </c>
      <c r="H125" s="90">
        <v>39217</v>
      </c>
      <c r="I125" s="3"/>
      <c r="J125" s="34" t="s">
        <v>611</v>
      </c>
      <c r="K125" s="40">
        <v>24351.431</v>
      </c>
      <c r="L125" s="21"/>
      <c r="M125" s="47" t="s">
        <v>577</v>
      </c>
      <c r="N125" s="27"/>
      <c r="O125" s="40">
        <f>K125+M125</f>
        <v>24351.431</v>
      </c>
      <c r="P125" s="21"/>
    </row>
    <row r="126" spans="3:16" ht="15.75" customHeight="1">
      <c r="C126" s="88" t="s">
        <v>857</v>
      </c>
      <c r="D126" s="48" t="s">
        <v>630</v>
      </c>
      <c r="E126" s="48" t="s">
        <v>635</v>
      </c>
      <c r="F126" s="158"/>
      <c r="G126" s="52">
        <v>35657</v>
      </c>
      <c r="H126" s="90">
        <v>39309</v>
      </c>
      <c r="I126" s="3"/>
      <c r="J126" s="34" t="s">
        <v>595</v>
      </c>
      <c r="K126" s="40">
        <v>25636.803</v>
      </c>
      <c r="L126" s="21"/>
      <c r="M126" s="47" t="s">
        <v>577</v>
      </c>
      <c r="N126" s="27"/>
      <c r="O126" s="40">
        <f t="shared" si="5"/>
        <v>25636.803</v>
      </c>
      <c r="P126" s="21"/>
    </row>
    <row r="127" spans="3:16" ht="15.75" customHeight="1">
      <c r="C127" s="43" t="s">
        <v>217</v>
      </c>
      <c r="D127" s="48" t="s">
        <v>603</v>
      </c>
      <c r="E127" s="144" t="s">
        <v>277</v>
      </c>
      <c r="F127" s="158"/>
      <c r="G127" s="52">
        <v>37483</v>
      </c>
      <c r="H127" s="90">
        <v>39309</v>
      </c>
      <c r="I127" s="3"/>
      <c r="J127" s="34" t="s">
        <v>595</v>
      </c>
      <c r="K127" s="40">
        <v>25410.844</v>
      </c>
      <c r="L127" s="21"/>
      <c r="M127" s="47" t="s">
        <v>577</v>
      </c>
      <c r="N127" s="27"/>
      <c r="O127" s="40">
        <f>K127+M127</f>
        <v>25410.844</v>
      </c>
      <c r="P127" s="21"/>
    </row>
    <row r="128" spans="3:16" ht="15.75" customHeight="1">
      <c r="C128" s="88" t="s">
        <v>58</v>
      </c>
      <c r="D128" s="48" t="s">
        <v>618</v>
      </c>
      <c r="E128" s="144" t="s">
        <v>161</v>
      </c>
      <c r="F128" s="158"/>
      <c r="G128" s="52">
        <v>37575</v>
      </c>
      <c r="H128" s="90">
        <v>39401</v>
      </c>
      <c r="I128" s="3"/>
      <c r="J128" s="34" t="s">
        <v>611</v>
      </c>
      <c r="K128" s="40">
        <v>23311.319</v>
      </c>
      <c r="L128" s="21"/>
      <c r="M128" s="47" t="s">
        <v>577</v>
      </c>
      <c r="N128" s="27"/>
      <c r="O128" s="40">
        <f>K128+M128</f>
        <v>23311.319</v>
      </c>
      <c r="P128" s="21"/>
    </row>
    <row r="129" spans="3:16" ht="15.75" customHeight="1">
      <c r="C129" s="88" t="s">
        <v>823</v>
      </c>
      <c r="D129" s="48" t="s">
        <v>609</v>
      </c>
      <c r="E129" s="89" t="s">
        <v>598</v>
      </c>
      <c r="F129" s="158"/>
      <c r="G129" s="52">
        <v>35843</v>
      </c>
      <c r="H129" s="90">
        <v>39493</v>
      </c>
      <c r="I129" s="3"/>
      <c r="J129" s="34" t="s">
        <v>595</v>
      </c>
      <c r="K129" s="40">
        <v>13583.412</v>
      </c>
      <c r="L129" s="21"/>
      <c r="M129" s="47" t="s">
        <v>577</v>
      </c>
      <c r="N129" s="27"/>
      <c r="O129" s="40">
        <f t="shared" si="5"/>
        <v>13583.412</v>
      </c>
      <c r="P129" s="21"/>
    </row>
    <row r="130" spans="3:16" ht="15.75" customHeight="1">
      <c r="C130" s="88" t="s">
        <v>187</v>
      </c>
      <c r="D130" s="48" t="s">
        <v>621</v>
      </c>
      <c r="E130" s="89" t="s">
        <v>629</v>
      </c>
      <c r="F130" s="158"/>
      <c r="G130" s="52">
        <v>35930</v>
      </c>
      <c r="H130" s="90">
        <v>39583</v>
      </c>
      <c r="I130" s="3"/>
      <c r="J130" s="34" t="s">
        <v>611</v>
      </c>
      <c r="K130" s="40">
        <v>27190.961</v>
      </c>
      <c r="L130" s="21"/>
      <c r="M130" s="47" t="s">
        <v>577</v>
      </c>
      <c r="N130" s="27"/>
      <c r="O130" s="40">
        <f t="shared" si="5"/>
        <v>27190.961</v>
      </c>
      <c r="P130" s="21"/>
    </row>
    <row r="131" spans="3:16" ht="15.75" customHeight="1">
      <c r="C131" s="88" t="s">
        <v>188</v>
      </c>
      <c r="D131" s="48" t="s">
        <v>630</v>
      </c>
      <c r="E131" s="89" t="s">
        <v>641</v>
      </c>
      <c r="F131" s="158"/>
      <c r="G131" s="52">
        <v>36115</v>
      </c>
      <c r="H131" s="90">
        <v>39767</v>
      </c>
      <c r="I131" s="3"/>
      <c r="J131" s="34" t="s">
        <v>611</v>
      </c>
      <c r="K131" s="40">
        <v>25083.125</v>
      </c>
      <c r="L131" s="21"/>
      <c r="M131" s="47" t="s">
        <v>577</v>
      </c>
      <c r="N131" s="27"/>
      <c r="O131" s="40">
        <f t="shared" si="5"/>
        <v>25083.125</v>
      </c>
      <c r="P131" s="21"/>
    </row>
    <row r="132" spans="3:16" ht="15.75" customHeight="1">
      <c r="C132" s="88" t="s">
        <v>189</v>
      </c>
      <c r="D132" s="48" t="s">
        <v>609</v>
      </c>
      <c r="E132" s="89" t="s">
        <v>598</v>
      </c>
      <c r="F132" s="158"/>
      <c r="G132" s="52">
        <v>36297</v>
      </c>
      <c r="H132" s="90">
        <v>39948</v>
      </c>
      <c r="I132" s="3"/>
      <c r="J132" s="34" t="s">
        <v>611</v>
      </c>
      <c r="K132" s="40">
        <v>14794.79</v>
      </c>
      <c r="L132" s="21"/>
      <c r="M132" s="47" t="s">
        <v>577</v>
      </c>
      <c r="N132" s="27"/>
      <c r="O132" s="40">
        <f aca="true" t="shared" si="6" ref="O132:O143">K132+M132</f>
        <v>14794.79</v>
      </c>
      <c r="P132" s="21"/>
    </row>
    <row r="133" spans="3:16" ht="15.75" customHeight="1">
      <c r="C133" s="88" t="s">
        <v>190</v>
      </c>
      <c r="D133" s="48" t="s">
        <v>621</v>
      </c>
      <c r="E133" s="89">
        <v>6</v>
      </c>
      <c r="F133" s="158"/>
      <c r="G133" s="52">
        <v>36388</v>
      </c>
      <c r="H133" s="90">
        <v>40040</v>
      </c>
      <c r="I133" s="3"/>
      <c r="J133" s="34" t="s">
        <v>595</v>
      </c>
      <c r="K133" s="40">
        <v>27399.894</v>
      </c>
      <c r="L133" s="21"/>
      <c r="M133" s="47" t="s">
        <v>577</v>
      </c>
      <c r="N133" s="27"/>
      <c r="O133" s="40">
        <f t="shared" si="6"/>
        <v>27399.894</v>
      </c>
      <c r="P133" s="21"/>
    </row>
    <row r="134" spans="3:16" ht="15.75" customHeight="1">
      <c r="C134" s="43" t="s">
        <v>191</v>
      </c>
      <c r="D134" s="48" t="s">
        <v>609</v>
      </c>
      <c r="E134" s="48" t="s">
        <v>607</v>
      </c>
      <c r="F134" s="158"/>
      <c r="G134" s="52">
        <v>36571</v>
      </c>
      <c r="H134" s="90">
        <v>40224</v>
      </c>
      <c r="I134" s="3"/>
      <c r="J134" s="34" t="s">
        <v>595</v>
      </c>
      <c r="K134" s="40">
        <v>23355.709</v>
      </c>
      <c r="L134" s="21"/>
      <c r="M134" s="47" t="s">
        <v>577</v>
      </c>
      <c r="N134" s="27"/>
      <c r="O134" s="40">
        <f t="shared" si="6"/>
        <v>23355.709</v>
      </c>
      <c r="P134" s="21"/>
    </row>
    <row r="135" spans="3:16" ht="15.75" customHeight="1">
      <c r="C135" s="43" t="s">
        <v>192</v>
      </c>
      <c r="D135" s="48" t="s">
        <v>621</v>
      </c>
      <c r="E135" s="89" t="s">
        <v>586</v>
      </c>
      <c r="F135" s="158"/>
      <c r="G135" s="52">
        <v>36753</v>
      </c>
      <c r="H135" s="90">
        <v>40405</v>
      </c>
      <c r="I135" s="3"/>
      <c r="J135" s="34" t="s">
        <v>595</v>
      </c>
      <c r="K135" s="40">
        <v>22437.594</v>
      </c>
      <c r="L135" s="21"/>
      <c r="M135" s="47" t="s">
        <v>577</v>
      </c>
      <c r="N135" s="27"/>
      <c r="O135" s="40">
        <f t="shared" si="6"/>
        <v>22437.594</v>
      </c>
      <c r="P135" s="21"/>
    </row>
    <row r="136" spans="3:16" ht="15.75" customHeight="1">
      <c r="C136" s="43" t="s">
        <v>158</v>
      </c>
      <c r="D136" s="48" t="s">
        <v>609</v>
      </c>
      <c r="E136" s="89">
        <v>5</v>
      </c>
      <c r="F136" s="158"/>
      <c r="G136" s="52">
        <v>36937</v>
      </c>
      <c r="H136" s="90">
        <v>40589</v>
      </c>
      <c r="I136" s="3"/>
      <c r="J136" s="34" t="s">
        <v>595</v>
      </c>
      <c r="K136" s="40">
        <v>23436.329</v>
      </c>
      <c r="L136" s="21"/>
      <c r="M136" s="47" t="s">
        <v>577</v>
      </c>
      <c r="N136" s="27"/>
      <c r="O136" s="40">
        <f t="shared" si="6"/>
        <v>23436.329</v>
      </c>
      <c r="P136" s="21"/>
    </row>
    <row r="137" spans="3:16" ht="15.75" customHeight="1">
      <c r="C137" s="43" t="s">
        <v>64</v>
      </c>
      <c r="D137" s="48" t="s">
        <v>621</v>
      </c>
      <c r="E137" s="89">
        <v>5</v>
      </c>
      <c r="F137" s="158"/>
      <c r="G137" s="52">
        <v>37118</v>
      </c>
      <c r="H137" s="90">
        <v>40770</v>
      </c>
      <c r="I137" s="3"/>
      <c r="J137" s="34" t="s">
        <v>595</v>
      </c>
      <c r="K137" s="40">
        <v>26635.316</v>
      </c>
      <c r="L137" s="21"/>
      <c r="M137" s="47" t="s">
        <v>577</v>
      </c>
      <c r="N137" s="27"/>
      <c r="O137" s="40">
        <f>K137+M137</f>
        <v>26635.316</v>
      </c>
      <c r="P137" s="21"/>
    </row>
    <row r="138" spans="3:16" ht="15.75" customHeight="1">
      <c r="C138" s="43" t="s">
        <v>136</v>
      </c>
      <c r="D138" s="48" t="s">
        <v>609</v>
      </c>
      <c r="E138" s="89" t="s">
        <v>137</v>
      </c>
      <c r="F138" s="158"/>
      <c r="G138" s="52">
        <v>37302</v>
      </c>
      <c r="H138" s="90">
        <v>40954</v>
      </c>
      <c r="I138" s="3"/>
      <c r="J138" s="34" t="s">
        <v>595</v>
      </c>
      <c r="K138" s="40">
        <v>24779.838</v>
      </c>
      <c r="L138" s="21"/>
      <c r="M138" s="47" t="s">
        <v>577</v>
      </c>
      <c r="N138" s="27"/>
      <c r="O138" s="40">
        <f>K138+M138</f>
        <v>24779.838</v>
      </c>
      <c r="P138" s="21"/>
    </row>
    <row r="139" spans="3:16" ht="15.75" customHeight="1">
      <c r="C139" s="43" t="s">
        <v>824</v>
      </c>
      <c r="D139" s="48" t="s">
        <v>630</v>
      </c>
      <c r="E139" s="89" t="s">
        <v>860</v>
      </c>
      <c r="F139" s="158"/>
      <c r="G139" s="52">
        <v>37483</v>
      </c>
      <c r="H139" s="90">
        <v>41136</v>
      </c>
      <c r="I139" s="3"/>
      <c r="J139" s="34" t="s">
        <v>595</v>
      </c>
      <c r="K139" s="40">
        <v>19647.976</v>
      </c>
      <c r="L139" s="21"/>
      <c r="M139" s="47" t="s">
        <v>577</v>
      </c>
      <c r="N139" s="27"/>
      <c r="O139" s="40">
        <f>K139+M139</f>
        <v>19647.976</v>
      </c>
      <c r="P139" s="21"/>
    </row>
    <row r="140" spans="3:16" ht="15.75" customHeight="1">
      <c r="C140" s="43" t="s">
        <v>57</v>
      </c>
      <c r="D140" s="48" t="s">
        <v>587</v>
      </c>
      <c r="E140" s="89" t="s">
        <v>462</v>
      </c>
      <c r="F140" s="158"/>
      <c r="G140" s="52">
        <v>37575</v>
      </c>
      <c r="H140" s="90">
        <v>41228</v>
      </c>
      <c r="I140" s="3"/>
      <c r="J140" s="34" t="s">
        <v>611</v>
      </c>
      <c r="K140" s="40">
        <v>18112.742</v>
      </c>
      <c r="L140" s="21"/>
      <c r="M140" s="47" t="s">
        <v>577</v>
      </c>
      <c r="N140" s="27"/>
      <c r="O140" s="40">
        <f>K140+M140</f>
        <v>18112.742</v>
      </c>
      <c r="P140" s="21"/>
    </row>
    <row r="141" spans="2:16" ht="15.75" customHeight="1">
      <c r="B141" s="9" t="s">
        <v>484</v>
      </c>
      <c r="F141" s="43"/>
      <c r="G141" s="16" t="s">
        <v>578</v>
      </c>
      <c r="H141" s="46" t="s">
        <v>579</v>
      </c>
      <c r="I141" s="3"/>
      <c r="J141" s="34" t="s">
        <v>580</v>
      </c>
      <c r="K141" s="56">
        <f>SUM(K60:K140)</f>
        <v>1586116.0530000003</v>
      </c>
      <c r="L141" s="221"/>
      <c r="M141" s="222" t="s">
        <v>577</v>
      </c>
      <c r="N141" s="223"/>
      <c r="O141" s="229">
        <f t="shared" si="6"/>
        <v>1586116.0530000003</v>
      </c>
      <c r="P141" s="221"/>
    </row>
    <row r="142" spans="2:16" ht="15.75" customHeight="1">
      <c r="B142" t="s">
        <v>485</v>
      </c>
      <c r="F142" s="65"/>
      <c r="G142" s="16" t="s">
        <v>578</v>
      </c>
      <c r="H142" s="46" t="s">
        <v>579</v>
      </c>
      <c r="I142" s="3"/>
      <c r="J142" s="34" t="s">
        <v>580</v>
      </c>
      <c r="K142" s="56">
        <v>53.645</v>
      </c>
      <c r="L142" s="270"/>
      <c r="M142" s="222" t="s">
        <v>577</v>
      </c>
      <c r="N142" s="223"/>
      <c r="O142" s="229">
        <f t="shared" si="6"/>
        <v>53.645</v>
      </c>
      <c r="P142" s="221"/>
    </row>
    <row r="143" spans="2:16" ht="15.75" customHeight="1" thickBot="1">
      <c r="B143" s="75" t="s">
        <v>486</v>
      </c>
      <c r="F143" s="43"/>
      <c r="G143" s="16" t="s">
        <v>578</v>
      </c>
      <c r="H143" s="46" t="s">
        <v>579</v>
      </c>
      <c r="I143" s="3"/>
      <c r="J143" s="34" t="s">
        <v>580</v>
      </c>
      <c r="K143" s="227">
        <f>SUM(K141:K142)</f>
        <v>1586169.6980000003</v>
      </c>
      <c r="L143" s="228"/>
      <c r="M143" s="230" t="s">
        <v>577</v>
      </c>
      <c r="N143" s="231"/>
      <c r="O143" s="227">
        <f t="shared" si="6"/>
        <v>1586169.6980000003</v>
      </c>
      <c r="P143" s="228"/>
    </row>
    <row r="144" spans="6:16" ht="15.75" customHeight="1" thickTop="1">
      <c r="F144" s="43"/>
      <c r="G144" s="98"/>
      <c r="H144" s="193"/>
      <c r="I144" s="3"/>
      <c r="J144" s="132"/>
      <c r="K144" s="109"/>
      <c r="L144" s="109"/>
      <c r="M144" s="110"/>
      <c r="N144" s="110"/>
      <c r="O144" s="109"/>
      <c r="P144" s="109"/>
    </row>
    <row r="170" spans="1:16" ht="15.75" customHeight="1" thickBot="1">
      <c r="A170" s="101"/>
      <c r="B170" s="101"/>
      <c r="C170" s="174"/>
      <c r="D170" s="175"/>
      <c r="E170" s="175"/>
      <c r="F170" s="176"/>
      <c r="G170" s="137"/>
      <c r="H170" s="138"/>
      <c r="I170" s="131"/>
      <c r="J170" s="102"/>
      <c r="K170" s="104"/>
      <c r="L170" s="104"/>
      <c r="M170" s="105"/>
      <c r="N170" s="105"/>
      <c r="O170" s="104"/>
      <c r="P170" s="104"/>
    </row>
    <row r="171" spans="1:16" ht="16.5" thickTop="1">
      <c r="A171" s="7">
        <v>4</v>
      </c>
      <c r="B171" s="2" t="str">
        <f>B85</f>
        <v>TABLE III - DETAIL OF TREASURY SECURITIES OUTSTANDING, JANUARY 31, 2003 -- Continued</v>
      </c>
      <c r="C171" s="2"/>
      <c r="D171" s="3"/>
      <c r="E171" s="3"/>
      <c r="F171" s="3"/>
      <c r="G171" s="3"/>
      <c r="H171" s="3"/>
      <c r="I171" s="29"/>
      <c r="J171" s="3"/>
      <c r="K171" s="3"/>
      <c r="L171" s="3"/>
      <c r="M171" s="3"/>
      <c r="N171" s="3"/>
      <c r="O171" s="3"/>
      <c r="P171" s="96"/>
    </row>
    <row r="172" spans="1:16" ht="11.25" customHeight="1" thickBot="1">
      <c r="A172" s="7"/>
      <c r="B172" s="2"/>
      <c r="C172" s="2"/>
      <c r="D172" s="3"/>
      <c r="E172" s="3"/>
      <c r="F172" s="3"/>
      <c r="G172" s="3"/>
      <c r="H172" s="3"/>
      <c r="I172" s="29"/>
      <c r="J172" s="3"/>
      <c r="K172" s="3"/>
      <c r="L172" s="3"/>
      <c r="M172" s="3"/>
      <c r="N172" s="3"/>
      <c r="O172" s="3"/>
      <c r="P172" s="2"/>
    </row>
    <row r="173" spans="1:16" ht="16.5" customHeight="1" thickTop="1">
      <c r="A173" s="32"/>
      <c r="B173" s="32"/>
      <c r="C173" s="32"/>
      <c r="D173" s="32"/>
      <c r="E173" s="32"/>
      <c r="F173" s="32"/>
      <c r="G173" s="26"/>
      <c r="H173" s="26"/>
      <c r="I173" s="33"/>
      <c r="J173" s="67"/>
      <c r="K173" s="26"/>
      <c r="L173" s="32"/>
      <c r="M173" s="32"/>
      <c r="N173" s="32"/>
      <c r="O173" s="32"/>
      <c r="P173" s="32"/>
    </row>
    <row r="174" spans="7:16" ht="15.75" customHeight="1">
      <c r="G174" s="16" t="s">
        <v>563</v>
      </c>
      <c r="H174" s="16" t="s">
        <v>564</v>
      </c>
      <c r="I174" s="29"/>
      <c r="J174" s="34" t="s">
        <v>565</v>
      </c>
      <c r="K174" s="16" t="s">
        <v>566</v>
      </c>
      <c r="L174" s="3"/>
      <c r="M174" s="3"/>
      <c r="N174" s="3"/>
      <c r="O174" s="3"/>
      <c r="P174" s="3"/>
    </row>
    <row r="175" spans="1:11" ht="15.75" customHeight="1">
      <c r="A175" s="3" t="s">
        <v>567</v>
      </c>
      <c r="B175" s="3"/>
      <c r="C175" s="3"/>
      <c r="D175" s="3"/>
      <c r="E175" s="3"/>
      <c r="F175" s="3"/>
      <c r="G175" s="16" t="s">
        <v>568</v>
      </c>
      <c r="H175" s="16" t="s">
        <v>569</v>
      </c>
      <c r="I175" s="29"/>
      <c r="J175" s="34" t="s">
        <v>570</v>
      </c>
      <c r="K175" s="14"/>
    </row>
    <row r="176" spans="1:16" ht="15.75" customHeight="1">
      <c r="A176" s="15"/>
      <c r="B176" s="15"/>
      <c r="C176" s="15"/>
      <c r="D176" s="15"/>
      <c r="E176" s="15"/>
      <c r="F176" s="15"/>
      <c r="G176" s="168"/>
      <c r="H176" s="35"/>
      <c r="I176" s="36"/>
      <c r="J176" s="168"/>
      <c r="K176" s="37" t="s">
        <v>571</v>
      </c>
      <c r="L176" s="38"/>
      <c r="M176" s="37" t="s">
        <v>572</v>
      </c>
      <c r="N176" s="38"/>
      <c r="O176" s="37" t="s">
        <v>531</v>
      </c>
      <c r="P176" s="38"/>
    </row>
    <row r="177" spans="7:15" ht="0.75" customHeight="1" hidden="1">
      <c r="G177" s="14"/>
      <c r="H177" s="14"/>
      <c r="I177" s="31"/>
      <c r="J177" s="34"/>
      <c r="K177" s="14"/>
      <c r="M177" s="14"/>
      <c r="O177" s="14"/>
    </row>
    <row r="178" spans="7:16" ht="15.75" customHeight="1">
      <c r="G178" s="18"/>
      <c r="H178" s="18"/>
      <c r="I178" s="39"/>
      <c r="J178" s="68"/>
      <c r="K178" s="14"/>
      <c r="M178" s="14"/>
      <c r="O178" s="40"/>
      <c r="P178" s="21"/>
    </row>
    <row r="179" spans="1:16" ht="18" customHeight="1">
      <c r="A179" s="60" t="s">
        <v>551</v>
      </c>
      <c r="B179" s="60"/>
      <c r="G179" s="18"/>
      <c r="H179" s="18"/>
      <c r="I179" s="39"/>
      <c r="J179" s="68"/>
      <c r="K179" s="14"/>
      <c r="M179" s="14"/>
      <c r="O179" s="40"/>
      <c r="P179" s="21"/>
    </row>
    <row r="180" spans="2:15" ht="21" customHeight="1">
      <c r="B180" s="9" t="s">
        <v>326</v>
      </c>
      <c r="C180" s="43"/>
      <c r="D180" s="159" t="s">
        <v>37</v>
      </c>
      <c r="F180" s="19"/>
      <c r="G180" s="45"/>
      <c r="H180" s="45"/>
      <c r="J180" s="34"/>
      <c r="K180" s="14"/>
      <c r="M180" s="14"/>
      <c r="O180" s="40" t="s">
        <v>528</v>
      </c>
    </row>
    <row r="181" spans="2:16" ht="17.25" customHeight="1">
      <c r="B181" s="9" t="s">
        <v>575</v>
      </c>
      <c r="D181" s="3"/>
      <c r="E181" s="3" t="s">
        <v>583</v>
      </c>
      <c r="F181" s="3"/>
      <c r="G181" s="70"/>
      <c r="I181" s="42"/>
      <c r="J181" s="68"/>
      <c r="K181" s="14"/>
      <c r="M181" s="14"/>
      <c r="O181" s="40"/>
      <c r="P181" s="21"/>
    </row>
    <row r="182" spans="3:16" ht="15.75" customHeight="1">
      <c r="C182" s="43" t="s">
        <v>52</v>
      </c>
      <c r="E182" s="48" t="s">
        <v>645</v>
      </c>
      <c r="F182" s="158">
        <v>7</v>
      </c>
      <c r="G182" s="46">
        <v>30320</v>
      </c>
      <c r="H182" s="126">
        <v>37667</v>
      </c>
      <c r="I182" s="164"/>
      <c r="J182" s="34" t="s">
        <v>595</v>
      </c>
      <c r="K182" s="40">
        <v>3006.667</v>
      </c>
      <c r="L182" s="21"/>
      <c r="M182" s="47" t="s">
        <v>577</v>
      </c>
      <c r="N182" s="27"/>
      <c r="O182" s="40">
        <f>K182+M182</f>
        <v>3006.667</v>
      </c>
      <c r="P182" s="21"/>
    </row>
    <row r="183" spans="3:16" ht="15.75" customHeight="1">
      <c r="C183" s="43" t="s">
        <v>193</v>
      </c>
      <c r="E183" s="48" t="s">
        <v>645</v>
      </c>
      <c r="F183" s="158">
        <v>7</v>
      </c>
      <c r="G183" s="46">
        <v>30410</v>
      </c>
      <c r="H183" s="126">
        <v>37756</v>
      </c>
      <c r="I183" s="165"/>
      <c r="J183" s="34" t="s">
        <v>611</v>
      </c>
      <c r="K183" s="40">
        <v>3249.132</v>
      </c>
      <c r="L183" s="21"/>
      <c r="M183" s="47" t="s">
        <v>577</v>
      </c>
      <c r="N183" s="27"/>
      <c r="O183" s="40">
        <f>K183+M183</f>
        <v>3249.132</v>
      </c>
      <c r="P183" s="21"/>
    </row>
    <row r="184" spans="3:16" ht="15.75" customHeight="1">
      <c r="C184" s="43" t="s">
        <v>194</v>
      </c>
      <c r="E184" s="48" t="s">
        <v>646</v>
      </c>
      <c r="F184" s="158">
        <v>7</v>
      </c>
      <c r="G184" s="46">
        <v>28717</v>
      </c>
      <c r="H184" s="126">
        <v>39675</v>
      </c>
      <c r="I184" s="165"/>
      <c r="J184" s="34" t="s">
        <v>595</v>
      </c>
      <c r="K184" s="40">
        <v>2102.549</v>
      </c>
      <c r="L184" s="21"/>
      <c r="M184" s="47" t="s">
        <v>577</v>
      </c>
      <c r="N184" s="27"/>
      <c r="O184" s="40">
        <f>K184+M184</f>
        <v>2102.549</v>
      </c>
      <c r="P184" s="21"/>
    </row>
    <row r="185" spans="7:16" ht="15.75" customHeight="1">
      <c r="G185" s="45"/>
      <c r="H185" s="108">
        <v>37848</v>
      </c>
      <c r="I185" s="163">
        <v>8</v>
      </c>
      <c r="J185" s="34"/>
      <c r="K185" s="40"/>
      <c r="L185" s="21"/>
      <c r="M185" s="40"/>
      <c r="N185" s="21"/>
      <c r="O185" s="40" t="s">
        <v>528</v>
      </c>
      <c r="P185" s="21"/>
    </row>
    <row r="186" spans="3:16" ht="15.75" customHeight="1">
      <c r="C186" s="43" t="s">
        <v>195</v>
      </c>
      <c r="E186" s="48" t="s">
        <v>647</v>
      </c>
      <c r="F186" s="158">
        <v>7</v>
      </c>
      <c r="G186" s="46">
        <v>30502</v>
      </c>
      <c r="H186" s="126">
        <v>37848</v>
      </c>
      <c r="I186" s="165"/>
      <c r="J186" s="34" t="s">
        <v>595</v>
      </c>
      <c r="K186" s="40">
        <v>3501.388</v>
      </c>
      <c r="L186" s="21"/>
      <c r="M186" s="47" t="s">
        <v>577</v>
      </c>
      <c r="N186" s="27"/>
      <c r="O186" s="40">
        <f>K186+M186</f>
        <v>3501.388</v>
      </c>
      <c r="P186" s="21"/>
    </row>
    <row r="187" spans="3:16" ht="15.75" customHeight="1">
      <c r="C187" s="43" t="s">
        <v>196</v>
      </c>
      <c r="E187" s="48" t="s">
        <v>636</v>
      </c>
      <c r="F187" s="158">
        <v>7</v>
      </c>
      <c r="G187" s="46">
        <v>28809</v>
      </c>
      <c r="H187" s="126">
        <v>39767</v>
      </c>
      <c r="I187" s="165"/>
      <c r="J187" s="34" t="s">
        <v>611</v>
      </c>
      <c r="K187" s="40">
        <v>5230.339</v>
      </c>
      <c r="L187" s="21"/>
      <c r="M187" s="47" t="s">
        <v>577</v>
      </c>
      <c r="N187" s="27"/>
      <c r="O187" s="40">
        <f>K187+M187</f>
        <v>5230.339</v>
      </c>
      <c r="P187" s="21"/>
    </row>
    <row r="188" spans="7:16" ht="15.75" customHeight="1">
      <c r="G188" s="45"/>
      <c r="H188" s="108">
        <v>37940</v>
      </c>
      <c r="I188" s="163">
        <v>8</v>
      </c>
      <c r="J188" s="34"/>
      <c r="K188" s="40"/>
      <c r="L188" s="21"/>
      <c r="M188" s="40"/>
      <c r="N188" s="21"/>
      <c r="O188" s="40" t="s">
        <v>528</v>
      </c>
      <c r="P188" s="21"/>
    </row>
    <row r="189" spans="3:16" ht="15.75" customHeight="1">
      <c r="C189" s="43" t="s">
        <v>197</v>
      </c>
      <c r="E189" s="48" t="s">
        <v>648</v>
      </c>
      <c r="F189" s="158">
        <v>7</v>
      </c>
      <c r="G189" s="46">
        <v>30594</v>
      </c>
      <c r="H189" s="126">
        <v>37940</v>
      </c>
      <c r="I189" s="165"/>
      <c r="J189" s="34" t="s">
        <v>611</v>
      </c>
      <c r="K189" s="40">
        <v>7259.553</v>
      </c>
      <c r="L189" s="21"/>
      <c r="M189" s="47" t="s">
        <v>577</v>
      </c>
      <c r="N189" s="27"/>
      <c r="O189" s="40">
        <f>K189+M189</f>
        <v>7259.553</v>
      </c>
      <c r="P189" s="21"/>
    </row>
    <row r="190" spans="3:16" ht="15.75" customHeight="1">
      <c r="C190" s="43" t="s">
        <v>198</v>
      </c>
      <c r="E190" s="48" t="s">
        <v>610</v>
      </c>
      <c r="F190" s="158">
        <v>7</v>
      </c>
      <c r="G190" s="46">
        <v>28990</v>
      </c>
      <c r="H190" s="108">
        <v>39948</v>
      </c>
      <c r="I190" s="164"/>
      <c r="J190" s="34" t="s">
        <v>611</v>
      </c>
      <c r="K190" s="40">
        <v>4605.676</v>
      </c>
      <c r="L190" s="21"/>
      <c r="M190" s="47" t="s">
        <v>577</v>
      </c>
      <c r="N190" s="27"/>
      <c r="O190" s="40">
        <f>K190+M190</f>
        <v>4605.676</v>
      </c>
      <c r="P190" s="21"/>
    </row>
    <row r="191" spans="7:16" ht="15.75" customHeight="1">
      <c r="G191" s="45"/>
      <c r="H191" s="108">
        <v>38122</v>
      </c>
      <c r="I191" s="163">
        <v>8</v>
      </c>
      <c r="J191" s="34"/>
      <c r="K191" s="40"/>
      <c r="L191" s="21"/>
      <c r="M191" s="40"/>
      <c r="N191" s="21"/>
      <c r="O191" s="40" t="s">
        <v>528</v>
      </c>
      <c r="P191" s="21"/>
    </row>
    <row r="192" spans="3:16" ht="15.75" customHeight="1">
      <c r="C192" s="43" t="s">
        <v>199</v>
      </c>
      <c r="E192" s="48" t="s">
        <v>649</v>
      </c>
      <c r="F192" s="158">
        <v>7</v>
      </c>
      <c r="G192" s="46">
        <v>30777</v>
      </c>
      <c r="H192" s="126">
        <v>38122</v>
      </c>
      <c r="I192" s="164"/>
      <c r="J192" s="34" t="s">
        <v>611</v>
      </c>
      <c r="K192" s="40">
        <v>3754.928</v>
      </c>
      <c r="L192" s="21"/>
      <c r="M192" s="47" t="s">
        <v>577</v>
      </c>
      <c r="N192" s="27"/>
      <c r="O192" s="40">
        <f>K192+M192</f>
        <v>3754.928</v>
      </c>
      <c r="P192" s="21"/>
    </row>
    <row r="193" spans="3:16" ht="15.75" customHeight="1">
      <c r="C193" s="43" t="s">
        <v>200</v>
      </c>
      <c r="E193" s="48" t="s">
        <v>650</v>
      </c>
      <c r="F193" s="158">
        <v>7</v>
      </c>
      <c r="G193" s="46">
        <v>30873</v>
      </c>
      <c r="H193" s="126">
        <v>38214</v>
      </c>
      <c r="I193" s="164"/>
      <c r="J193" s="34" t="s">
        <v>595</v>
      </c>
      <c r="K193" s="40">
        <v>4000.363</v>
      </c>
      <c r="L193" s="21"/>
      <c r="M193" s="47" t="s">
        <v>577</v>
      </c>
      <c r="N193" s="27"/>
      <c r="O193" s="40">
        <f>K193+M193</f>
        <v>4000.363</v>
      </c>
      <c r="P193" s="21"/>
    </row>
    <row r="194" spans="3:16" ht="15.75" customHeight="1">
      <c r="C194" s="43" t="s">
        <v>201</v>
      </c>
      <c r="E194" s="48" t="s">
        <v>651</v>
      </c>
      <c r="F194" s="158">
        <v>7</v>
      </c>
      <c r="G194" s="46">
        <v>29174</v>
      </c>
      <c r="H194" s="126">
        <v>40132</v>
      </c>
      <c r="I194" s="164"/>
      <c r="J194" s="34" t="s">
        <v>611</v>
      </c>
      <c r="K194" s="40">
        <v>4201.062</v>
      </c>
      <c r="L194" s="21"/>
      <c r="M194" s="47" t="s">
        <v>577</v>
      </c>
      <c r="N194" s="27"/>
      <c r="O194" s="40">
        <f>K194+M194</f>
        <v>4201.062</v>
      </c>
      <c r="P194" s="21"/>
    </row>
    <row r="195" spans="6:16" ht="15.75" customHeight="1">
      <c r="F195" s="158"/>
      <c r="G195" s="45"/>
      <c r="H195" s="108">
        <v>38306</v>
      </c>
      <c r="I195" s="163">
        <v>8</v>
      </c>
      <c r="J195" s="34"/>
      <c r="K195" s="40"/>
      <c r="L195" s="21"/>
      <c r="M195" s="40"/>
      <c r="N195" s="21"/>
      <c r="O195" s="40" t="s">
        <v>528</v>
      </c>
      <c r="P195" s="21"/>
    </row>
    <row r="196" spans="3:16" ht="15.75" customHeight="1">
      <c r="C196" s="43" t="s">
        <v>202</v>
      </c>
      <c r="E196" s="48" t="s">
        <v>644</v>
      </c>
      <c r="G196" s="46">
        <v>30985</v>
      </c>
      <c r="H196" s="126">
        <v>38306</v>
      </c>
      <c r="I196" s="164"/>
      <c r="J196" s="34" t="s">
        <v>611</v>
      </c>
      <c r="K196" s="40">
        <v>8301.806</v>
      </c>
      <c r="L196" s="21"/>
      <c r="M196" s="47" t="s">
        <v>577</v>
      </c>
      <c r="N196" s="27"/>
      <c r="O196" s="40">
        <f>K196+M196</f>
        <v>8301.806</v>
      </c>
      <c r="P196" s="21"/>
    </row>
    <row r="197" spans="3:16" ht="15.75" customHeight="1">
      <c r="C197" s="43" t="s">
        <v>203</v>
      </c>
      <c r="E197" s="48" t="s">
        <v>642</v>
      </c>
      <c r="F197" s="158">
        <v>7</v>
      </c>
      <c r="G197" s="46">
        <v>29266</v>
      </c>
      <c r="H197" s="126">
        <v>40224</v>
      </c>
      <c r="I197" s="164"/>
      <c r="J197" s="34" t="s">
        <v>595</v>
      </c>
      <c r="K197" s="40">
        <v>2647.309</v>
      </c>
      <c r="L197" s="21"/>
      <c r="M197" s="51">
        <v>-332.1</v>
      </c>
      <c r="N197" s="21"/>
      <c r="O197" s="40">
        <f>K197+M197</f>
        <v>2315.2090000000003</v>
      </c>
      <c r="P197" s="21"/>
    </row>
    <row r="198" spans="6:16" ht="15.75" customHeight="1">
      <c r="F198" s="162"/>
      <c r="G198" s="45"/>
      <c r="H198" s="108">
        <v>38398</v>
      </c>
      <c r="I198" s="163">
        <v>8</v>
      </c>
      <c r="J198" s="34"/>
      <c r="K198" s="40"/>
      <c r="L198" s="21"/>
      <c r="M198" s="40"/>
      <c r="N198" s="21"/>
      <c r="O198" s="40" t="s">
        <v>528</v>
      </c>
      <c r="P198" s="21"/>
    </row>
    <row r="199" spans="3:16" ht="15.75" customHeight="1">
      <c r="C199" s="43" t="s">
        <v>204</v>
      </c>
      <c r="E199" s="48" t="s">
        <v>652</v>
      </c>
      <c r="F199" s="158">
        <v>7</v>
      </c>
      <c r="G199" s="46">
        <v>29356</v>
      </c>
      <c r="H199" s="126">
        <v>40313</v>
      </c>
      <c r="I199" s="164"/>
      <c r="J199" s="34" t="s">
        <v>611</v>
      </c>
      <c r="K199" s="40">
        <v>2987.44</v>
      </c>
      <c r="L199" s="21"/>
      <c r="M199" s="47" t="s">
        <v>577</v>
      </c>
      <c r="N199" s="27"/>
      <c r="O199" s="40">
        <f>K199+M199</f>
        <v>2987.44</v>
      </c>
      <c r="P199" s="21"/>
    </row>
    <row r="200" spans="6:16" ht="15.75" customHeight="1">
      <c r="F200" s="162"/>
      <c r="G200" s="45"/>
      <c r="H200" s="108">
        <v>38487</v>
      </c>
      <c r="I200" s="163">
        <v>8</v>
      </c>
      <c r="J200" s="34"/>
      <c r="K200" s="40"/>
      <c r="L200" s="21"/>
      <c r="M200" s="40"/>
      <c r="N200" s="21"/>
      <c r="O200" s="40" t="s">
        <v>528</v>
      </c>
      <c r="P200" s="21"/>
    </row>
    <row r="201" spans="3:16" ht="15.75" customHeight="1">
      <c r="C201" s="43" t="s">
        <v>205</v>
      </c>
      <c r="E201" s="48" t="s">
        <v>653</v>
      </c>
      <c r="F201" s="158"/>
      <c r="G201" s="46">
        <v>31139</v>
      </c>
      <c r="H201" s="126">
        <v>38487</v>
      </c>
      <c r="I201" s="164"/>
      <c r="J201" s="34" t="s">
        <v>611</v>
      </c>
      <c r="K201" s="40">
        <v>4260.758</v>
      </c>
      <c r="L201" s="21"/>
      <c r="M201" s="47" t="s">
        <v>577</v>
      </c>
      <c r="N201" s="27"/>
      <c r="O201" s="40">
        <f>K201+M201</f>
        <v>4260.758</v>
      </c>
      <c r="P201" s="21"/>
    </row>
    <row r="202" spans="3:16" ht="15.75" customHeight="1">
      <c r="C202" s="43" t="s">
        <v>206</v>
      </c>
      <c r="E202" s="89" t="s">
        <v>645</v>
      </c>
      <c r="G202" s="52">
        <v>31230</v>
      </c>
      <c r="H202" s="126">
        <v>38579</v>
      </c>
      <c r="I202" s="164"/>
      <c r="J202" s="34" t="s">
        <v>595</v>
      </c>
      <c r="K202" s="40">
        <v>9269.713</v>
      </c>
      <c r="L202" s="21"/>
      <c r="M202" s="47" t="s">
        <v>577</v>
      </c>
      <c r="N202" s="27"/>
      <c r="O202" s="40">
        <f aca="true" t="shared" si="7" ref="O202:O216">K202+M202</f>
        <v>9269.713</v>
      </c>
      <c r="P202" s="21"/>
    </row>
    <row r="203" spans="3:16" ht="15.75" customHeight="1">
      <c r="C203" s="43" t="s">
        <v>207</v>
      </c>
      <c r="E203" s="48" t="s">
        <v>654</v>
      </c>
      <c r="F203" s="158">
        <v>7</v>
      </c>
      <c r="G203" s="46">
        <v>29542</v>
      </c>
      <c r="H203" s="126">
        <v>40497</v>
      </c>
      <c r="I203" s="164"/>
      <c r="J203" s="34" t="s">
        <v>611</v>
      </c>
      <c r="K203" s="40">
        <v>4736.37</v>
      </c>
      <c r="L203" s="21"/>
      <c r="M203" s="51">
        <v>-655</v>
      </c>
      <c r="N203" s="27"/>
      <c r="O203" s="40">
        <f t="shared" si="7"/>
        <v>4081.37</v>
      </c>
      <c r="P203" s="21"/>
    </row>
    <row r="204" spans="2:16" ht="15.75" customHeight="1">
      <c r="B204" s="9"/>
      <c r="E204" s="3"/>
      <c r="F204" s="165"/>
      <c r="G204" s="46"/>
      <c r="H204" s="108">
        <v>38671</v>
      </c>
      <c r="I204" s="163">
        <v>8</v>
      </c>
      <c r="J204" s="68"/>
      <c r="K204" s="14"/>
      <c r="M204" s="14"/>
      <c r="O204" s="40" t="s">
        <v>528</v>
      </c>
      <c r="P204" s="21"/>
    </row>
    <row r="205" spans="2:16" ht="15.75" customHeight="1">
      <c r="B205" s="9"/>
      <c r="C205" s="43" t="s">
        <v>208</v>
      </c>
      <c r="E205" s="48" t="s">
        <v>655</v>
      </c>
      <c r="G205" s="46">
        <v>31427</v>
      </c>
      <c r="H205" s="126">
        <v>38763</v>
      </c>
      <c r="I205" s="165"/>
      <c r="J205" s="34" t="s">
        <v>595</v>
      </c>
      <c r="K205" s="40">
        <v>4755.916</v>
      </c>
      <c r="L205" s="21"/>
      <c r="M205" s="47" t="s">
        <v>577</v>
      </c>
      <c r="N205" s="27"/>
      <c r="O205" s="40">
        <f t="shared" si="7"/>
        <v>4755.916</v>
      </c>
      <c r="P205" s="21"/>
    </row>
    <row r="206" spans="2:16" ht="15.75" customHeight="1">
      <c r="B206" s="9"/>
      <c r="C206" s="43" t="s">
        <v>209</v>
      </c>
      <c r="E206" s="48" t="s">
        <v>656</v>
      </c>
      <c r="F206" s="158">
        <v>7</v>
      </c>
      <c r="G206" s="46">
        <v>29721</v>
      </c>
      <c r="H206" s="126">
        <v>40678</v>
      </c>
      <c r="I206" s="165"/>
      <c r="J206" s="34" t="s">
        <v>611</v>
      </c>
      <c r="K206" s="40">
        <v>4608.503</v>
      </c>
      <c r="L206" s="21"/>
      <c r="M206" s="51">
        <v>-1064</v>
      </c>
      <c r="N206" s="27"/>
      <c r="O206" s="40">
        <f t="shared" si="7"/>
        <v>3544.5029999999997</v>
      </c>
      <c r="P206" s="21"/>
    </row>
    <row r="207" spans="3:16" ht="15.75" customHeight="1">
      <c r="C207" s="43" t="s">
        <v>528</v>
      </c>
      <c r="F207" s="157"/>
      <c r="G207" s="45"/>
      <c r="H207" s="108">
        <v>38852</v>
      </c>
      <c r="I207" s="163">
        <v>8</v>
      </c>
      <c r="J207" s="34"/>
      <c r="K207" s="40"/>
      <c r="L207" s="21"/>
      <c r="M207" s="40"/>
      <c r="N207" s="21"/>
      <c r="O207" s="40" t="s">
        <v>528</v>
      </c>
      <c r="P207" s="21"/>
    </row>
    <row r="208" spans="3:16" ht="15.75" customHeight="1">
      <c r="C208" s="43" t="s">
        <v>210</v>
      </c>
      <c r="E208" s="48" t="s">
        <v>657</v>
      </c>
      <c r="F208" s="158">
        <v>7</v>
      </c>
      <c r="G208" s="46">
        <v>29906</v>
      </c>
      <c r="H208" s="126">
        <v>40862</v>
      </c>
      <c r="I208" s="164"/>
      <c r="J208" s="34" t="s">
        <v>611</v>
      </c>
      <c r="K208" s="40">
        <v>4900.545</v>
      </c>
      <c r="L208" s="21"/>
      <c r="M208" s="51">
        <v>-852.1</v>
      </c>
      <c r="N208" s="27"/>
      <c r="O208" s="40">
        <f t="shared" si="7"/>
        <v>4048.445</v>
      </c>
      <c r="P208" s="21"/>
    </row>
    <row r="209" spans="6:16" ht="15.75" customHeight="1">
      <c r="F209" s="157"/>
      <c r="G209" s="45"/>
      <c r="H209" s="108">
        <v>39036</v>
      </c>
      <c r="I209" s="163">
        <v>8</v>
      </c>
      <c r="J209" s="34"/>
      <c r="K209" s="40"/>
      <c r="L209" s="21"/>
      <c r="M209" s="40"/>
      <c r="N209" s="21"/>
      <c r="O209" s="40" t="s">
        <v>528</v>
      </c>
      <c r="P209" s="21"/>
    </row>
    <row r="210" spans="3:16" ht="15.75" customHeight="1">
      <c r="C210" s="43" t="s">
        <v>211</v>
      </c>
      <c r="E210" s="48" t="s">
        <v>651</v>
      </c>
      <c r="F210" s="158">
        <v>7</v>
      </c>
      <c r="G210" s="46">
        <v>30270</v>
      </c>
      <c r="H210" s="126">
        <v>41228</v>
      </c>
      <c r="I210" s="164"/>
      <c r="J210" s="34" t="s">
        <v>611</v>
      </c>
      <c r="K210" s="40">
        <v>11031.518</v>
      </c>
      <c r="L210" s="21"/>
      <c r="M210" s="51">
        <v>-905.5</v>
      </c>
      <c r="N210" s="21"/>
      <c r="O210" s="40">
        <f t="shared" si="7"/>
        <v>10126.018</v>
      </c>
      <c r="P210" s="21"/>
    </row>
    <row r="211" spans="3:16" ht="15.75" customHeight="1">
      <c r="C211" s="43"/>
      <c r="E211" s="48"/>
      <c r="F211" s="157"/>
      <c r="G211" s="46"/>
      <c r="H211" s="108">
        <v>39401</v>
      </c>
      <c r="I211" s="163">
        <v>8</v>
      </c>
      <c r="J211" s="34"/>
      <c r="K211" s="40"/>
      <c r="L211" s="21"/>
      <c r="M211" s="47"/>
      <c r="N211" s="27"/>
      <c r="O211" s="40" t="s">
        <v>528</v>
      </c>
      <c r="P211" s="21"/>
    </row>
    <row r="212" spans="3:16" ht="15.75" customHeight="1">
      <c r="C212" s="43" t="s">
        <v>212</v>
      </c>
      <c r="E212" s="48" t="s">
        <v>653</v>
      </c>
      <c r="F212" s="158">
        <v>7</v>
      </c>
      <c r="G212" s="46">
        <v>30543</v>
      </c>
      <c r="H212" s="126">
        <v>41501</v>
      </c>
      <c r="I212" s="164"/>
      <c r="J212" s="34" t="s">
        <v>595</v>
      </c>
      <c r="K212" s="40">
        <v>14755.363</v>
      </c>
      <c r="L212" s="21"/>
      <c r="M212" s="51">
        <v>-2838.3</v>
      </c>
      <c r="N212" s="192"/>
      <c r="O212" s="40">
        <f t="shared" si="7"/>
        <v>11917.062999999998</v>
      </c>
      <c r="P212" s="21"/>
    </row>
    <row r="213" spans="6:16" ht="15.75" customHeight="1">
      <c r="F213" s="157"/>
      <c r="G213" s="45"/>
      <c r="H213" s="108">
        <v>39675</v>
      </c>
      <c r="I213" s="163">
        <v>8</v>
      </c>
      <c r="J213" s="34"/>
      <c r="K213" s="40"/>
      <c r="L213" s="21"/>
      <c r="M213" s="40"/>
      <c r="N213" s="21"/>
      <c r="O213" s="40" t="s">
        <v>528</v>
      </c>
      <c r="P213" s="21"/>
    </row>
    <row r="214" spans="3:16" ht="15.75" customHeight="1">
      <c r="C214" s="43" t="s">
        <v>213</v>
      </c>
      <c r="E214" s="48" t="s">
        <v>658</v>
      </c>
      <c r="F214" s="158">
        <v>7</v>
      </c>
      <c r="G214" s="46">
        <v>30817</v>
      </c>
      <c r="H214" s="126">
        <v>41774</v>
      </c>
      <c r="I214" s="164"/>
      <c r="J214" s="34" t="s">
        <v>611</v>
      </c>
      <c r="K214" s="40">
        <v>5007.367</v>
      </c>
      <c r="L214" s="21"/>
      <c r="M214" s="51">
        <v>-526.6</v>
      </c>
      <c r="N214" s="27"/>
      <c r="O214" s="40">
        <f t="shared" si="7"/>
        <v>4480.767</v>
      </c>
      <c r="P214" s="21"/>
    </row>
    <row r="215" spans="6:16" ht="15.75" customHeight="1">
      <c r="F215" s="157"/>
      <c r="G215" s="45"/>
      <c r="H215" s="108">
        <v>39948</v>
      </c>
      <c r="I215" s="163">
        <v>8</v>
      </c>
      <c r="J215" s="34"/>
      <c r="K215" s="40"/>
      <c r="L215" s="21"/>
      <c r="M215" s="40"/>
      <c r="N215" s="21"/>
      <c r="O215" s="40" t="s">
        <v>528</v>
      </c>
      <c r="P215" s="21"/>
    </row>
    <row r="216" spans="3:16" ht="15.75" customHeight="1">
      <c r="C216" s="43" t="s">
        <v>214</v>
      </c>
      <c r="E216" s="48" t="s">
        <v>659</v>
      </c>
      <c r="F216" s="158">
        <v>7</v>
      </c>
      <c r="G216" s="46">
        <v>30909</v>
      </c>
      <c r="H216" s="126">
        <v>41866</v>
      </c>
      <c r="I216" s="164"/>
      <c r="J216" s="34" t="s">
        <v>595</v>
      </c>
      <c r="K216" s="40">
        <v>5128.392</v>
      </c>
      <c r="L216" s="21"/>
      <c r="M216" s="51">
        <v>-740.4</v>
      </c>
      <c r="N216" s="27"/>
      <c r="O216" s="40">
        <f t="shared" si="7"/>
        <v>4387.992</v>
      </c>
      <c r="P216" s="21"/>
    </row>
    <row r="217" spans="6:16" ht="15.75" customHeight="1">
      <c r="F217" s="157"/>
      <c r="G217" s="45"/>
      <c r="H217" s="108">
        <v>40040</v>
      </c>
      <c r="I217" s="163">
        <v>8</v>
      </c>
      <c r="J217" s="34"/>
      <c r="K217" s="40"/>
      <c r="L217" s="21"/>
      <c r="M217" s="40"/>
      <c r="N217" s="21"/>
      <c r="O217" s="40" t="s">
        <v>528</v>
      </c>
      <c r="P217" s="21"/>
    </row>
    <row r="218" spans="3:16" ht="15.75" customHeight="1">
      <c r="C218" s="43" t="s">
        <v>215</v>
      </c>
      <c r="E218" s="48" t="s">
        <v>642</v>
      </c>
      <c r="F218" s="158"/>
      <c r="G218" s="46">
        <v>31001</v>
      </c>
      <c r="H218" s="126">
        <v>41958</v>
      </c>
      <c r="I218" s="164"/>
      <c r="J218" s="34" t="s">
        <v>611</v>
      </c>
      <c r="K218" s="40">
        <v>6005.584</v>
      </c>
      <c r="L218" s="21"/>
      <c r="M218" s="51">
        <v>-990.3</v>
      </c>
      <c r="N218" s="192"/>
      <c r="O218" s="40">
        <f>K218+M218</f>
        <v>5015.284</v>
      </c>
      <c r="P218" s="21"/>
    </row>
    <row r="219" spans="6:16" ht="15.75" customHeight="1">
      <c r="F219" s="162"/>
      <c r="G219" s="45"/>
      <c r="H219" s="108">
        <v>40132</v>
      </c>
      <c r="I219" s="163">
        <v>8</v>
      </c>
      <c r="J219" s="34"/>
      <c r="K219" s="40"/>
      <c r="L219" s="21"/>
      <c r="M219" s="40"/>
      <c r="N219" s="21"/>
      <c r="O219" s="40" t="s">
        <v>528</v>
      </c>
      <c r="P219" s="21"/>
    </row>
    <row r="220" spans="3:16" ht="15.75" customHeight="1">
      <c r="C220" s="43" t="s">
        <v>218</v>
      </c>
      <c r="E220" s="48" t="s">
        <v>660</v>
      </c>
      <c r="F220" s="158"/>
      <c r="G220" s="46">
        <v>31093</v>
      </c>
      <c r="H220" s="134">
        <v>42050</v>
      </c>
      <c r="I220" s="3"/>
      <c r="J220" s="34" t="s">
        <v>595</v>
      </c>
      <c r="K220" s="40">
        <v>12667.799</v>
      </c>
      <c r="L220" s="21"/>
      <c r="M220" s="51">
        <v>-2147.5</v>
      </c>
      <c r="N220" s="27"/>
      <c r="O220" s="40">
        <f>K220+M220</f>
        <v>10520.299</v>
      </c>
      <c r="P220" s="21"/>
    </row>
    <row r="221" spans="3:16" ht="15.75" customHeight="1">
      <c r="C221" s="43" t="s">
        <v>219</v>
      </c>
      <c r="E221" s="48" t="s">
        <v>661</v>
      </c>
      <c r="F221" s="158"/>
      <c r="G221" s="46">
        <v>31274</v>
      </c>
      <c r="H221" s="134">
        <v>42231</v>
      </c>
      <c r="I221" s="3"/>
      <c r="J221" s="34" t="s">
        <v>595</v>
      </c>
      <c r="K221" s="40">
        <v>7149.916</v>
      </c>
      <c r="L221" s="21"/>
      <c r="M221" s="51">
        <v>-3126</v>
      </c>
      <c r="N221" s="27"/>
      <c r="O221" s="40">
        <f>K221+M221</f>
        <v>4023.916</v>
      </c>
      <c r="P221" s="21"/>
    </row>
    <row r="222" spans="3:16" ht="15.75" customHeight="1">
      <c r="C222" s="43" t="s">
        <v>220</v>
      </c>
      <c r="E222" s="48" t="s">
        <v>662</v>
      </c>
      <c r="F222" s="158"/>
      <c r="G222" s="46">
        <v>31380</v>
      </c>
      <c r="H222" s="134">
        <v>42323</v>
      </c>
      <c r="I222" s="3"/>
      <c r="J222" s="34" t="s">
        <v>611</v>
      </c>
      <c r="K222" s="40">
        <v>6899.859</v>
      </c>
      <c r="L222" s="21"/>
      <c r="M222" s="51">
        <v>-1315</v>
      </c>
      <c r="N222" s="27"/>
      <c r="O222" s="40">
        <f>K222+M222</f>
        <v>5584.859</v>
      </c>
      <c r="P222" s="21"/>
    </row>
    <row r="223" spans="3:16" ht="15.75" customHeight="1">
      <c r="C223" s="43" t="s">
        <v>221</v>
      </c>
      <c r="E223" s="48" t="s">
        <v>663</v>
      </c>
      <c r="F223" s="158"/>
      <c r="G223" s="46">
        <v>31461</v>
      </c>
      <c r="H223" s="134">
        <v>42415</v>
      </c>
      <c r="I223" s="3"/>
      <c r="J223" s="34" t="s">
        <v>595</v>
      </c>
      <c r="K223" s="40">
        <v>7266.854</v>
      </c>
      <c r="L223" s="21"/>
      <c r="M223" s="51">
        <v>-1835.1</v>
      </c>
      <c r="N223" s="27"/>
      <c r="O223" s="40">
        <f aca="true" t="shared" si="8" ref="O223:O249">K223+M223</f>
        <v>5431.754000000001</v>
      </c>
      <c r="P223" s="21"/>
    </row>
    <row r="224" spans="3:16" ht="15.75" customHeight="1">
      <c r="C224" s="43" t="s">
        <v>222</v>
      </c>
      <c r="E224" s="48" t="s">
        <v>640</v>
      </c>
      <c r="F224" s="158"/>
      <c r="G224" s="46">
        <v>31547</v>
      </c>
      <c r="H224" s="134">
        <v>42505</v>
      </c>
      <c r="I224" s="3"/>
      <c r="J224" s="34" t="s">
        <v>611</v>
      </c>
      <c r="K224" s="40">
        <v>18823.551</v>
      </c>
      <c r="L224" s="21"/>
      <c r="M224" s="47" t="s">
        <v>577</v>
      </c>
      <c r="N224" s="27"/>
      <c r="O224" s="40">
        <f t="shared" si="8"/>
        <v>18823.551</v>
      </c>
      <c r="P224" s="21"/>
    </row>
    <row r="225" spans="3:16" ht="15.75" customHeight="1">
      <c r="C225" s="43" t="s">
        <v>223</v>
      </c>
      <c r="E225" s="48" t="s">
        <v>628</v>
      </c>
      <c r="F225" s="158"/>
      <c r="G225" s="46">
        <v>31733</v>
      </c>
      <c r="H225" s="134">
        <v>42689</v>
      </c>
      <c r="I225" s="3"/>
      <c r="J225" s="34" t="s">
        <v>611</v>
      </c>
      <c r="K225" s="40">
        <v>18864.448</v>
      </c>
      <c r="L225" s="21"/>
      <c r="M225" s="51">
        <v>-77</v>
      </c>
      <c r="N225" s="27"/>
      <c r="O225" s="40">
        <f t="shared" si="8"/>
        <v>18787.448</v>
      </c>
      <c r="P225" s="21"/>
    </row>
    <row r="226" spans="3:16" ht="15.75" customHeight="1">
      <c r="C226" s="43" t="s">
        <v>224</v>
      </c>
      <c r="E226" s="48" t="s">
        <v>636</v>
      </c>
      <c r="F226" s="158"/>
      <c r="G226" s="46">
        <v>31912</v>
      </c>
      <c r="H226" s="134">
        <v>42870</v>
      </c>
      <c r="I226" s="3"/>
      <c r="J226" s="34" t="s">
        <v>611</v>
      </c>
      <c r="K226" s="40">
        <v>18194.169</v>
      </c>
      <c r="L226" s="21"/>
      <c r="M226" s="51">
        <v>-2635</v>
      </c>
      <c r="N226" s="27"/>
      <c r="O226" s="40">
        <f t="shared" si="8"/>
        <v>15559.169000000002</v>
      </c>
      <c r="P226" s="21"/>
    </row>
    <row r="227" spans="3:16" ht="15.75" customHeight="1">
      <c r="C227" s="43" t="s">
        <v>225</v>
      </c>
      <c r="E227" s="48" t="s">
        <v>594</v>
      </c>
      <c r="F227" s="158"/>
      <c r="G227" s="46">
        <v>32006</v>
      </c>
      <c r="H227" s="134">
        <v>42962</v>
      </c>
      <c r="I227" s="3"/>
      <c r="J227" s="34" t="s">
        <v>595</v>
      </c>
      <c r="K227" s="40">
        <v>14016.858</v>
      </c>
      <c r="L227" s="21"/>
      <c r="M227" s="51">
        <v>-3048.5</v>
      </c>
      <c r="N227" s="27"/>
      <c r="O227" s="40">
        <f t="shared" si="8"/>
        <v>10968.358</v>
      </c>
      <c r="P227" s="21"/>
    </row>
    <row r="228" spans="3:16" ht="15.75" customHeight="1">
      <c r="C228" s="43" t="s">
        <v>226</v>
      </c>
      <c r="E228" s="48" t="s">
        <v>610</v>
      </c>
      <c r="F228" s="158"/>
      <c r="G228" s="46">
        <v>32279</v>
      </c>
      <c r="H228" s="134">
        <v>43235</v>
      </c>
      <c r="I228" s="3"/>
      <c r="J228" s="34" t="s">
        <v>611</v>
      </c>
      <c r="K228" s="40">
        <v>8708.639</v>
      </c>
      <c r="L228" s="21"/>
      <c r="M228" s="51">
        <v>-1991.2</v>
      </c>
      <c r="N228" s="27"/>
      <c r="O228" s="40">
        <f t="shared" si="8"/>
        <v>6717.438999999999</v>
      </c>
      <c r="P228" s="21"/>
    </row>
    <row r="229" spans="3:16" ht="15.75" customHeight="1">
      <c r="C229" s="43" t="s">
        <v>227</v>
      </c>
      <c r="E229" s="48" t="s">
        <v>664</v>
      </c>
      <c r="F229" s="158"/>
      <c r="G229" s="46">
        <v>32469</v>
      </c>
      <c r="H229" s="134">
        <v>43419</v>
      </c>
      <c r="I229" s="3"/>
      <c r="J229" s="34" t="s">
        <v>611</v>
      </c>
      <c r="K229" s="40">
        <v>9032.87</v>
      </c>
      <c r="L229" s="21"/>
      <c r="M229" s="51">
        <v>-1858.4</v>
      </c>
      <c r="N229" s="27"/>
      <c r="O229" s="40">
        <f t="shared" si="8"/>
        <v>7174.470000000001</v>
      </c>
      <c r="P229" s="21"/>
    </row>
    <row r="230" spans="3:16" ht="15.75" customHeight="1">
      <c r="C230" s="43" t="s">
        <v>228</v>
      </c>
      <c r="E230" s="48" t="s">
        <v>594</v>
      </c>
      <c r="F230" s="158"/>
      <c r="G230" s="46">
        <v>32554</v>
      </c>
      <c r="H230" s="134">
        <v>43511</v>
      </c>
      <c r="I230" s="3"/>
      <c r="J230" s="34" t="s">
        <v>595</v>
      </c>
      <c r="K230" s="40">
        <v>19250.798</v>
      </c>
      <c r="L230" s="21"/>
      <c r="M230" s="51">
        <v>-6160.3</v>
      </c>
      <c r="N230" s="27"/>
      <c r="O230" s="40">
        <f t="shared" si="8"/>
        <v>13090.498</v>
      </c>
      <c r="P230" s="21"/>
    </row>
    <row r="231" spans="3:16" ht="15.75" customHeight="1">
      <c r="C231" s="43" t="s">
        <v>229</v>
      </c>
      <c r="E231" s="48" t="s">
        <v>669</v>
      </c>
      <c r="F231" s="158"/>
      <c r="G231" s="46">
        <v>32735</v>
      </c>
      <c r="H231" s="134">
        <v>43692</v>
      </c>
      <c r="I231" s="3"/>
      <c r="J231" s="34" t="s">
        <v>595</v>
      </c>
      <c r="K231" s="40">
        <v>20213.832</v>
      </c>
      <c r="L231" s="21"/>
      <c r="M231" s="51">
        <v>-1272.9</v>
      </c>
      <c r="N231" s="27"/>
      <c r="O231" s="40">
        <f t="shared" si="8"/>
        <v>18940.931999999997</v>
      </c>
      <c r="P231" s="21"/>
    </row>
    <row r="232" spans="3:16" ht="15.75" customHeight="1">
      <c r="C232" s="43" t="s">
        <v>230</v>
      </c>
      <c r="E232" s="48" t="s">
        <v>634</v>
      </c>
      <c r="F232" s="158"/>
      <c r="G232" s="46">
        <v>32919</v>
      </c>
      <c r="H232" s="134">
        <v>43876</v>
      </c>
      <c r="I232" s="3"/>
      <c r="J232" s="34" t="s">
        <v>595</v>
      </c>
      <c r="K232" s="40">
        <v>10228.868</v>
      </c>
      <c r="L232" s="21"/>
      <c r="M232" s="51">
        <v>-752.6</v>
      </c>
      <c r="N232" s="27"/>
      <c r="O232" s="40">
        <f t="shared" si="8"/>
        <v>9476.268</v>
      </c>
      <c r="P232" s="21"/>
    </row>
    <row r="233" spans="3:16" ht="15.75" customHeight="1">
      <c r="C233" s="43" t="s">
        <v>231</v>
      </c>
      <c r="E233" s="48" t="s">
        <v>636</v>
      </c>
      <c r="F233" s="158"/>
      <c r="G233" s="46">
        <v>33008</v>
      </c>
      <c r="H233" s="134">
        <v>43966</v>
      </c>
      <c r="I233" s="3"/>
      <c r="J233" s="34" t="s">
        <v>611</v>
      </c>
      <c r="K233" s="40">
        <v>10158.883</v>
      </c>
      <c r="L233" s="21"/>
      <c r="M233" s="51">
        <v>-2576.7</v>
      </c>
      <c r="N233" s="27"/>
      <c r="O233" s="40">
        <f t="shared" si="8"/>
        <v>7582.183</v>
      </c>
      <c r="P233" s="21"/>
    </row>
    <row r="234" spans="3:16" ht="15.75" customHeight="1">
      <c r="C234" s="43" t="s">
        <v>232</v>
      </c>
      <c r="E234" s="48" t="s">
        <v>636</v>
      </c>
      <c r="F234" s="158"/>
      <c r="G234" s="46">
        <v>33100</v>
      </c>
      <c r="H234" s="134">
        <v>44058</v>
      </c>
      <c r="I234" s="3"/>
      <c r="J234" s="34" t="s">
        <v>595</v>
      </c>
      <c r="K234" s="40">
        <v>21418.606</v>
      </c>
      <c r="L234" s="21"/>
      <c r="M234" s="51">
        <v>-4359.3</v>
      </c>
      <c r="N234" s="27"/>
      <c r="O234" s="40">
        <f t="shared" si="8"/>
        <v>17059.306</v>
      </c>
      <c r="P234" s="21"/>
    </row>
    <row r="235" spans="3:16" ht="15.75" customHeight="1">
      <c r="C235" s="43" t="s">
        <v>233</v>
      </c>
      <c r="E235" s="48" t="s">
        <v>631</v>
      </c>
      <c r="F235" s="158"/>
      <c r="G235" s="46">
        <v>33284</v>
      </c>
      <c r="H235" s="134">
        <v>44242</v>
      </c>
      <c r="I235" s="3"/>
      <c r="J235" s="34" t="s">
        <v>595</v>
      </c>
      <c r="K235" s="40">
        <v>11113.373</v>
      </c>
      <c r="L235" s="21"/>
      <c r="M235" s="51">
        <v>-1037.8</v>
      </c>
      <c r="N235" s="27"/>
      <c r="O235" s="40">
        <f t="shared" si="8"/>
        <v>10075.573</v>
      </c>
      <c r="P235" s="21"/>
    </row>
    <row r="236" spans="3:16" ht="15.75" customHeight="1">
      <c r="C236" s="43" t="s">
        <v>234</v>
      </c>
      <c r="E236" s="48" t="s">
        <v>669</v>
      </c>
      <c r="F236" s="158"/>
      <c r="G236" s="46">
        <v>33373</v>
      </c>
      <c r="H236" s="134">
        <v>44331</v>
      </c>
      <c r="I236" s="3"/>
      <c r="J236" s="34" t="s">
        <v>611</v>
      </c>
      <c r="K236" s="40">
        <v>11958.888</v>
      </c>
      <c r="L236" s="21"/>
      <c r="M236" s="51">
        <v>-1892.1</v>
      </c>
      <c r="N236" s="27"/>
      <c r="O236" s="40">
        <f t="shared" si="8"/>
        <v>10066.788</v>
      </c>
      <c r="P236" s="21"/>
    </row>
    <row r="237" spans="3:16" ht="15.75" customHeight="1">
      <c r="C237" s="43" t="s">
        <v>235</v>
      </c>
      <c r="E237" s="48" t="s">
        <v>669</v>
      </c>
      <c r="F237" s="158"/>
      <c r="G237" s="46">
        <v>33465</v>
      </c>
      <c r="H237" s="134">
        <v>44423</v>
      </c>
      <c r="I237" s="3"/>
      <c r="J237" s="34" t="s">
        <v>595</v>
      </c>
      <c r="K237" s="40">
        <v>12163.482</v>
      </c>
      <c r="L237" s="21"/>
      <c r="M237" s="51">
        <v>-2657.1</v>
      </c>
      <c r="N237" s="27"/>
      <c r="O237" s="40">
        <f t="shared" si="8"/>
        <v>9506.382</v>
      </c>
      <c r="P237" s="21"/>
    </row>
    <row r="238" spans="3:16" ht="15.75" customHeight="1">
      <c r="C238" s="43" t="s">
        <v>236</v>
      </c>
      <c r="E238" s="48">
        <v>8</v>
      </c>
      <c r="F238" s="158"/>
      <c r="G238" s="46">
        <v>33557</v>
      </c>
      <c r="H238" s="134">
        <v>44515</v>
      </c>
      <c r="I238" s="3"/>
      <c r="J238" s="34" t="s">
        <v>611</v>
      </c>
      <c r="K238" s="40">
        <v>32798.394</v>
      </c>
      <c r="L238" s="21"/>
      <c r="M238" s="51">
        <v>-2166.2</v>
      </c>
      <c r="N238" s="27"/>
      <c r="O238" s="40">
        <f t="shared" si="8"/>
        <v>30632.194</v>
      </c>
      <c r="P238" s="21"/>
    </row>
    <row r="239" spans="3:16" ht="15.75" customHeight="1">
      <c r="C239" s="43" t="s">
        <v>237</v>
      </c>
      <c r="E239" s="48" t="s">
        <v>640</v>
      </c>
      <c r="F239" s="158"/>
      <c r="G239" s="46">
        <v>33833</v>
      </c>
      <c r="H239" s="134">
        <v>44788</v>
      </c>
      <c r="I239" s="3"/>
      <c r="J239" s="34" t="s">
        <v>595</v>
      </c>
      <c r="K239" s="40">
        <v>10352.79</v>
      </c>
      <c r="L239" s="21"/>
      <c r="M239" s="51">
        <v>-225</v>
      </c>
      <c r="N239" s="27"/>
      <c r="O239" s="40">
        <f t="shared" si="8"/>
        <v>10127.79</v>
      </c>
      <c r="P239" s="21"/>
    </row>
    <row r="240" spans="3:16" ht="15.75" customHeight="1">
      <c r="C240" s="43" t="s">
        <v>238</v>
      </c>
      <c r="E240" s="48" t="s">
        <v>643</v>
      </c>
      <c r="F240" s="158"/>
      <c r="G240" s="46">
        <v>33924</v>
      </c>
      <c r="H240" s="134">
        <v>44880</v>
      </c>
      <c r="I240" s="3"/>
      <c r="J240" s="34" t="s">
        <v>611</v>
      </c>
      <c r="K240" s="40">
        <v>10699.626</v>
      </c>
      <c r="L240" s="21"/>
      <c r="M240" s="51">
        <v>-3276</v>
      </c>
      <c r="N240" s="27"/>
      <c r="O240" s="40">
        <f t="shared" si="8"/>
        <v>7423.626</v>
      </c>
      <c r="P240" s="21"/>
    </row>
    <row r="241" spans="3:16" ht="15.75" customHeight="1">
      <c r="C241" s="43" t="s">
        <v>239</v>
      </c>
      <c r="E241" s="48" t="s">
        <v>625</v>
      </c>
      <c r="F241" s="158"/>
      <c r="G241" s="46">
        <v>34016</v>
      </c>
      <c r="H241" s="134">
        <v>44972</v>
      </c>
      <c r="I241" s="3"/>
      <c r="J241" s="34" t="s">
        <v>595</v>
      </c>
      <c r="K241" s="40">
        <v>18374.361</v>
      </c>
      <c r="L241" s="21"/>
      <c r="M241" s="51">
        <v>-2592.3</v>
      </c>
      <c r="N241" s="27"/>
      <c r="O241" s="40">
        <f t="shared" si="8"/>
        <v>15782.061000000002</v>
      </c>
      <c r="P241" s="21"/>
    </row>
    <row r="242" spans="3:16" ht="15.75" customHeight="1">
      <c r="C242" s="43" t="s">
        <v>240</v>
      </c>
      <c r="E242" s="48" t="s">
        <v>602</v>
      </c>
      <c r="F242" s="158"/>
      <c r="G242" s="46">
        <v>34197</v>
      </c>
      <c r="H242" s="134">
        <v>45153</v>
      </c>
      <c r="I242" s="3"/>
      <c r="J242" s="34" t="s">
        <v>595</v>
      </c>
      <c r="K242" s="40">
        <v>22909.044</v>
      </c>
      <c r="L242" s="21"/>
      <c r="M242" s="51">
        <v>-250</v>
      </c>
      <c r="N242" s="27"/>
      <c r="O242" s="40">
        <f t="shared" si="8"/>
        <v>22659.044</v>
      </c>
      <c r="P242" s="21"/>
    </row>
    <row r="243" spans="3:16" ht="15.75" customHeight="1">
      <c r="C243" s="43" t="s">
        <v>241</v>
      </c>
      <c r="E243" s="48" t="s">
        <v>628</v>
      </c>
      <c r="F243" s="158"/>
      <c r="G243" s="46">
        <v>34561</v>
      </c>
      <c r="H243" s="134">
        <v>45611</v>
      </c>
      <c r="I243" s="3"/>
      <c r="J243" s="34" t="s">
        <v>611</v>
      </c>
      <c r="K243" s="40">
        <v>11469.662</v>
      </c>
      <c r="L243" s="21"/>
      <c r="M243" s="51">
        <v>-1865.5</v>
      </c>
      <c r="N243" s="27"/>
      <c r="O243" s="40">
        <f t="shared" si="8"/>
        <v>9604.162</v>
      </c>
      <c r="P243" s="21"/>
    </row>
    <row r="244" spans="3:16" ht="15.75" customHeight="1">
      <c r="C244" s="43" t="s">
        <v>242</v>
      </c>
      <c r="E244" s="48" t="s">
        <v>643</v>
      </c>
      <c r="F244" s="158"/>
      <c r="G244" s="46">
        <v>34745</v>
      </c>
      <c r="H244" s="134">
        <v>45703</v>
      </c>
      <c r="I244" s="3"/>
      <c r="J244" s="34" t="s">
        <v>595</v>
      </c>
      <c r="K244" s="40">
        <v>11725.17</v>
      </c>
      <c r="L244" s="21"/>
      <c r="M244" s="51">
        <v>-2216</v>
      </c>
      <c r="N244" s="27"/>
      <c r="O244" s="40">
        <f t="shared" si="8"/>
        <v>9509.17</v>
      </c>
      <c r="P244" s="21"/>
    </row>
    <row r="245" spans="3:16" ht="15.75" customHeight="1">
      <c r="C245" s="43" t="s">
        <v>243</v>
      </c>
      <c r="E245" s="48" t="s">
        <v>620</v>
      </c>
      <c r="F245" s="158"/>
      <c r="G245" s="46">
        <v>34926</v>
      </c>
      <c r="H245" s="134">
        <v>45884</v>
      </c>
      <c r="I245" s="3"/>
      <c r="J245" s="34" t="s">
        <v>595</v>
      </c>
      <c r="K245" s="40">
        <v>12602.007</v>
      </c>
      <c r="L245" s="21"/>
      <c r="M245" s="51">
        <v>-1414.8</v>
      </c>
      <c r="N245" s="27"/>
      <c r="O245" s="40">
        <f t="shared" si="8"/>
        <v>11187.207</v>
      </c>
      <c r="P245" s="21"/>
    </row>
    <row r="246" spans="3:16" ht="15.75" customHeight="1">
      <c r="C246" s="43" t="s">
        <v>244</v>
      </c>
      <c r="E246" s="48" t="s">
        <v>617</v>
      </c>
      <c r="F246" s="158"/>
      <c r="G246" s="46">
        <v>35110</v>
      </c>
      <c r="H246" s="134">
        <v>46068</v>
      </c>
      <c r="I246" s="3"/>
      <c r="J246" s="34" t="s">
        <v>595</v>
      </c>
      <c r="K246" s="40">
        <v>12904.916</v>
      </c>
      <c r="L246" s="21"/>
      <c r="M246" s="51">
        <v>-67</v>
      </c>
      <c r="N246" s="27"/>
      <c r="O246" s="40">
        <f t="shared" si="8"/>
        <v>12837.916</v>
      </c>
      <c r="P246" s="21"/>
    </row>
    <row r="247" spans="3:16" ht="15.75" customHeight="1">
      <c r="C247" s="43" t="s">
        <v>245</v>
      </c>
      <c r="E247" s="48" t="s">
        <v>614</v>
      </c>
      <c r="F247" s="158"/>
      <c r="G247" s="90">
        <v>35292</v>
      </c>
      <c r="H247" s="135">
        <v>46249</v>
      </c>
      <c r="I247" s="3"/>
      <c r="J247" s="34" t="s">
        <v>595</v>
      </c>
      <c r="K247" s="40">
        <v>10893.818</v>
      </c>
      <c r="L247" s="21"/>
      <c r="M247" s="51">
        <v>-2083.4</v>
      </c>
      <c r="N247" s="27"/>
      <c r="O247" s="40">
        <f t="shared" si="8"/>
        <v>8810.418</v>
      </c>
      <c r="P247" s="21"/>
    </row>
    <row r="248" spans="3:16" ht="15.75" customHeight="1">
      <c r="C248" s="43" t="s">
        <v>268</v>
      </c>
      <c r="E248" s="48" t="s">
        <v>607</v>
      </c>
      <c r="F248" s="158"/>
      <c r="G248" s="90">
        <v>35384</v>
      </c>
      <c r="H248" s="135">
        <v>46341</v>
      </c>
      <c r="I248" s="3"/>
      <c r="J248" s="34" t="s">
        <v>611</v>
      </c>
      <c r="K248" s="40">
        <v>11493.177</v>
      </c>
      <c r="L248" s="21"/>
      <c r="M248" s="51">
        <v>-633</v>
      </c>
      <c r="N248" s="27"/>
      <c r="O248" s="40">
        <f t="shared" si="8"/>
        <v>10860.177</v>
      </c>
      <c r="P248" s="21"/>
    </row>
    <row r="249" spans="3:16" ht="15.75" customHeight="1">
      <c r="C249" s="43" t="s">
        <v>452</v>
      </c>
      <c r="E249" s="48" t="s">
        <v>638</v>
      </c>
      <c r="F249" s="158"/>
      <c r="G249" s="90">
        <v>35479</v>
      </c>
      <c r="H249" s="135">
        <v>46433</v>
      </c>
      <c r="I249" s="3"/>
      <c r="J249" s="34" t="s">
        <v>595</v>
      </c>
      <c r="K249" s="40">
        <v>10456.071</v>
      </c>
      <c r="L249" s="21"/>
      <c r="M249" s="51">
        <v>-934.1</v>
      </c>
      <c r="N249" s="27"/>
      <c r="O249" s="40">
        <f t="shared" si="8"/>
        <v>9521.971</v>
      </c>
      <c r="P249" s="21"/>
    </row>
    <row r="250" spans="3:16" ht="15.75" customHeight="1">
      <c r="C250" s="43" t="s">
        <v>149</v>
      </c>
      <c r="E250" s="48" t="s">
        <v>588</v>
      </c>
      <c r="F250" s="158"/>
      <c r="G250" s="90">
        <v>35657</v>
      </c>
      <c r="H250" s="135">
        <v>46614</v>
      </c>
      <c r="I250" s="3"/>
      <c r="J250" s="34" t="s">
        <v>595</v>
      </c>
      <c r="K250" s="40">
        <v>10735.756</v>
      </c>
      <c r="L250" s="21"/>
      <c r="M250" s="51">
        <v>-1539</v>
      </c>
      <c r="N250" s="27"/>
      <c r="O250" s="40">
        <f>K250+M250</f>
        <v>9196.756</v>
      </c>
      <c r="P250" s="21"/>
    </row>
    <row r="251" spans="3:16" ht="14.25" customHeight="1">
      <c r="C251" s="43" t="s">
        <v>416</v>
      </c>
      <c r="E251" s="48" t="s">
        <v>635</v>
      </c>
      <c r="F251" s="158"/>
      <c r="G251" s="90">
        <v>35751</v>
      </c>
      <c r="H251" s="135">
        <v>46706</v>
      </c>
      <c r="I251" s="3"/>
      <c r="J251" s="34" t="s">
        <v>611</v>
      </c>
      <c r="K251" s="40">
        <v>22518.539</v>
      </c>
      <c r="L251" s="21"/>
      <c r="M251" s="51">
        <v>-497.2</v>
      </c>
      <c r="N251" s="27"/>
      <c r="O251" s="40">
        <f>K251+M251</f>
        <v>22021.339</v>
      </c>
      <c r="P251" s="21"/>
    </row>
    <row r="252" spans="3:16" ht="15.75" customHeight="1">
      <c r="C252" s="43" t="s">
        <v>249</v>
      </c>
      <c r="E252" s="89" t="s">
        <v>598</v>
      </c>
      <c r="F252" s="158"/>
      <c r="G252" s="90">
        <v>36024</v>
      </c>
      <c r="H252" s="135">
        <v>46980</v>
      </c>
      <c r="I252" s="3"/>
      <c r="J252" s="34" t="s">
        <v>595</v>
      </c>
      <c r="K252" s="40">
        <v>11776.201</v>
      </c>
      <c r="L252" s="21"/>
      <c r="M252" s="47" t="s">
        <v>577</v>
      </c>
      <c r="N252" s="27"/>
      <c r="O252" s="40">
        <f>K252+M252</f>
        <v>11776.201</v>
      </c>
      <c r="P252" s="21"/>
    </row>
    <row r="253" spans="3:16" ht="15.75" customHeight="1">
      <c r="C253" s="43"/>
      <c r="E253" s="89"/>
      <c r="F253" s="158"/>
      <c r="G253" s="417"/>
      <c r="H253" s="418"/>
      <c r="I253" s="3"/>
      <c r="J253" s="132"/>
      <c r="K253" s="109"/>
      <c r="L253" s="21"/>
      <c r="M253" s="110"/>
      <c r="N253" s="27"/>
      <c r="O253" s="109"/>
      <c r="P253" s="21"/>
    </row>
    <row r="254" spans="3:16" ht="15.75" customHeight="1">
      <c r="C254" s="43"/>
      <c r="E254" s="89"/>
      <c r="F254" s="158"/>
      <c r="G254" s="417"/>
      <c r="H254" s="418"/>
      <c r="I254" s="3"/>
      <c r="J254" s="132"/>
      <c r="K254" s="109"/>
      <c r="L254" s="21"/>
      <c r="M254" s="110"/>
      <c r="N254" s="27"/>
      <c r="O254" s="109"/>
      <c r="P254" s="21"/>
    </row>
    <row r="255" spans="3:16" ht="15.75" customHeight="1">
      <c r="C255" s="43"/>
      <c r="E255" s="89"/>
      <c r="F255" s="158"/>
      <c r="G255" s="417"/>
      <c r="H255" s="418"/>
      <c r="I255" s="3"/>
      <c r="J255" s="132"/>
      <c r="K255" s="109"/>
      <c r="L255" s="21"/>
      <c r="M255" s="110"/>
      <c r="N255" s="27"/>
      <c r="O255" s="109"/>
      <c r="P255" s="21"/>
    </row>
    <row r="256" spans="1:16" ht="15.75" customHeight="1" thickBot="1">
      <c r="A256" s="101"/>
      <c r="B256" s="101"/>
      <c r="C256" s="130"/>
      <c r="D256" s="101"/>
      <c r="E256" s="102"/>
      <c r="F256" s="176"/>
      <c r="G256" s="402"/>
      <c r="H256" s="403"/>
      <c r="I256" s="131"/>
      <c r="J256" s="102"/>
      <c r="K256" s="104"/>
      <c r="L256" s="104"/>
      <c r="M256" s="173"/>
      <c r="N256" s="105"/>
      <c r="O256" s="104"/>
      <c r="P256" s="104"/>
    </row>
    <row r="257" spans="1:16" ht="16.5" thickTop="1">
      <c r="A257" s="95"/>
      <c r="B257" s="2" t="str">
        <f>B85</f>
        <v>TABLE III - DETAIL OF TREASURY SECURITIES OUTSTANDING, JANUARY 31, 2003 -- Continued</v>
      </c>
      <c r="C257" s="2"/>
      <c r="D257" s="3"/>
      <c r="E257" s="3"/>
      <c r="F257" s="3"/>
      <c r="G257" s="3"/>
      <c r="H257" s="3"/>
      <c r="I257" s="29"/>
      <c r="J257" s="3"/>
      <c r="K257" s="3"/>
      <c r="L257" s="3"/>
      <c r="M257" s="3"/>
      <c r="N257" s="3"/>
      <c r="O257" s="3"/>
      <c r="P257" s="96">
        <v>5</v>
      </c>
    </row>
    <row r="258" spans="1:16" ht="10.5" customHeight="1" thickBot="1">
      <c r="A258" s="2"/>
      <c r="B258" s="2"/>
      <c r="C258" s="2"/>
      <c r="D258" s="3"/>
      <c r="E258" s="3"/>
      <c r="F258" s="3"/>
      <c r="G258" s="3"/>
      <c r="H258" s="3"/>
      <c r="I258" s="29"/>
      <c r="K258" s="3"/>
      <c r="L258" s="3"/>
      <c r="M258" s="3"/>
      <c r="N258" s="3"/>
      <c r="O258" s="3"/>
      <c r="P258" s="2"/>
    </row>
    <row r="259" spans="1:16" ht="15.75" thickTop="1">
      <c r="A259" s="32"/>
      <c r="B259" s="32"/>
      <c r="C259" s="32"/>
      <c r="D259" s="32"/>
      <c r="E259" s="32"/>
      <c r="F259" s="32"/>
      <c r="G259" s="26"/>
      <c r="H259" s="26"/>
      <c r="I259" s="33"/>
      <c r="J259" s="67"/>
      <c r="K259" s="26"/>
      <c r="L259" s="32"/>
      <c r="M259" s="32"/>
      <c r="N259" s="32"/>
      <c r="O259" s="32"/>
      <c r="P259" s="32"/>
    </row>
    <row r="260" spans="7:16" ht="15.75" customHeight="1">
      <c r="G260" s="16" t="s">
        <v>563</v>
      </c>
      <c r="H260" s="16" t="s">
        <v>564</v>
      </c>
      <c r="I260" s="29"/>
      <c r="J260" s="34" t="s">
        <v>565</v>
      </c>
      <c r="K260" s="16" t="s">
        <v>566</v>
      </c>
      <c r="L260" s="3"/>
      <c r="M260" s="3"/>
      <c r="N260" s="3"/>
      <c r="O260" s="3"/>
      <c r="P260" s="3"/>
    </row>
    <row r="261" spans="1:11" ht="15.75" customHeight="1">
      <c r="A261" s="3" t="s">
        <v>567</v>
      </c>
      <c r="B261" s="3"/>
      <c r="C261" s="3"/>
      <c r="D261" s="3"/>
      <c r="E261" s="3"/>
      <c r="F261" s="3"/>
      <c r="G261" s="16" t="s">
        <v>568</v>
      </c>
      <c r="H261" s="16" t="s">
        <v>569</v>
      </c>
      <c r="I261" s="29"/>
      <c r="J261" s="34" t="s">
        <v>570</v>
      </c>
      <c r="K261" s="14"/>
    </row>
    <row r="262" spans="1:16" ht="16.5" customHeight="1">
      <c r="A262" s="15"/>
      <c r="B262" s="15"/>
      <c r="C262" s="15"/>
      <c r="D262" s="15"/>
      <c r="E262" s="15"/>
      <c r="F262" s="15"/>
      <c r="G262" s="35"/>
      <c r="H262" s="35"/>
      <c r="I262" s="36"/>
      <c r="J262" s="61"/>
      <c r="K262" s="37" t="s">
        <v>571</v>
      </c>
      <c r="L262" s="38"/>
      <c r="M262" s="37" t="s">
        <v>572</v>
      </c>
      <c r="N262" s="38"/>
      <c r="O262" s="37" t="s">
        <v>531</v>
      </c>
      <c r="P262" s="38"/>
    </row>
    <row r="263" spans="1:16" ht="15.75" customHeight="1">
      <c r="A263" s="63"/>
      <c r="B263" s="63"/>
      <c r="C263" s="63"/>
      <c r="D263" s="63"/>
      <c r="E263" s="63"/>
      <c r="F263" s="63"/>
      <c r="G263" s="14"/>
      <c r="H263" s="14"/>
      <c r="I263" s="97"/>
      <c r="J263" s="34"/>
      <c r="K263" s="16"/>
      <c r="L263" s="98"/>
      <c r="M263" s="16"/>
      <c r="N263" s="98"/>
      <c r="O263" s="16"/>
      <c r="P263" s="98"/>
    </row>
    <row r="264" spans="1:16" ht="18" customHeight="1">
      <c r="A264" s="60" t="s">
        <v>548</v>
      </c>
      <c r="B264" s="60"/>
      <c r="F264" s="62"/>
      <c r="G264" s="140"/>
      <c r="H264" s="124"/>
      <c r="I264" s="39"/>
      <c r="J264" s="68"/>
      <c r="K264" s="14"/>
      <c r="M264" s="14"/>
      <c r="O264" s="40"/>
      <c r="P264" s="21"/>
    </row>
    <row r="265" spans="2:16" ht="17.25" customHeight="1">
      <c r="B265" s="9" t="s">
        <v>575</v>
      </c>
      <c r="D265" s="3"/>
      <c r="E265" s="3" t="s">
        <v>583</v>
      </c>
      <c r="F265" s="3"/>
      <c r="G265" s="70"/>
      <c r="I265" s="42"/>
      <c r="J265" s="68"/>
      <c r="K265" s="14"/>
      <c r="M265" s="14"/>
      <c r="O265" s="40"/>
      <c r="P265" s="21"/>
    </row>
    <row r="266" spans="3:16" ht="16.5" customHeight="1">
      <c r="C266" s="43" t="s">
        <v>455</v>
      </c>
      <c r="E266" s="89" t="s">
        <v>637</v>
      </c>
      <c r="F266" s="158"/>
      <c r="G266" s="90">
        <v>36115</v>
      </c>
      <c r="H266" s="135">
        <v>47072</v>
      </c>
      <c r="I266" s="3"/>
      <c r="J266" s="34" t="s">
        <v>611</v>
      </c>
      <c r="K266" s="40">
        <v>10947.052</v>
      </c>
      <c r="L266" s="21"/>
      <c r="M266" s="47" t="s">
        <v>577</v>
      </c>
      <c r="N266" s="27"/>
      <c r="O266" s="40">
        <f aca="true" t="shared" si="9" ref="O266:O272">K266+M266</f>
        <v>10947.052</v>
      </c>
      <c r="P266" s="21"/>
    </row>
    <row r="267" spans="3:16" ht="15.75" customHeight="1">
      <c r="C267" s="43" t="s">
        <v>415</v>
      </c>
      <c r="E267" s="89" t="s">
        <v>637</v>
      </c>
      <c r="F267" s="158"/>
      <c r="G267" s="90">
        <v>36207</v>
      </c>
      <c r="H267" s="135">
        <v>47164</v>
      </c>
      <c r="I267" s="3"/>
      <c r="J267" s="34" t="s">
        <v>595</v>
      </c>
      <c r="K267" s="40">
        <v>11350.341</v>
      </c>
      <c r="L267" s="21"/>
      <c r="M267" s="47" t="s">
        <v>577</v>
      </c>
      <c r="N267" s="27"/>
      <c r="O267" s="40">
        <f t="shared" si="9"/>
        <v>11350.341</v>
      </c>
      <c r="P267" s="41"/>
    </row>
    <row r="268" spans="3:16" ht="15.75" customHeight="1">
      <c r="C268" s="43" t="s">
        <v>835</v>
      </c>
      <c r="E268" s="48" t="s">
        <v>635</v>
      </c>
      <c r="F268" s="158"/>
      <c r="G268" s="90">
        <v>36388</v>
      </c>
      <c r="H268" s="135">
        <v>47345</v>
      </c>
      <c r="I268" s="3"/>
      <c r="J268" s="34" t="s">
        <v>595</v>
      </c>
      <c r="K268" s="40">
        <v>11178.58</v>
      </c>
      <c r="L268" s="21"/>
      <c r="M268" s="47" t="s">
        <v>577</v>
      </c>
      <c r="N268" s="27"/>
      <c r="O268" s="40">
        <f t="shared" si="9"/>
        <v>11178.58</v>
      </c>
      <c r="P268" s="21"/>
    </row>
    <row r="269" spans="3:16" ht="15.75" customHeight="1">
      <c r="C269" s="88" t="s">
        <v>253</v>
      </c>
      <c r="E269" s="48" t="s">
        <v>602</v>
      </c>
      <c r="F269" s="158"/>
      <c r="G269" s="90">
        <v>36571</v>
      </c>
      <c r="H269" s="135">
        <v>47618</v>
      </c>
      <c r="I269" s="3"/>
      <c r="J269" s="34" t="s">
        <v>611</v>
      </c>
      <c r="K269" s="40">
        <v>17043.162</v>
      </c>
      <c r="L269" s="21"/>
      <c r="M269" s="47" t="s">
        <v>577</v>
      </c>
      <c r="N269" s="27"/>
      <c r="O269" s="40">
        <f t="shared" si="9"/>
        <v>17043.162</v>
      </c>
      <c r="P269" s="21"/>
    </row>
    <row r="270" spans="3:16" ht="15.75" customHeight="1">
      <c r="C270" s="88" t="s">
        <v>159</v>
      </c>
      <c r="E270" s="89" t="s">
        <v>633</v>
      </c>
      <c r="F270" s="158"/>
      <c r="G270" s="90">
        <v>36937</v>
      </c>
      <c r="H270" s="135">
        <v>47894</v>
      </c>
      <c r="I270" s="3"/>
      <c r="J270" s="34" t="s">
        <v>595</v>
      </c>
      <c r="K270" s="40">
        <v>16427.648</v>
      </c>
      <c r="L270" s="21"/>
      <c r="M270" s="47" t="s">
        <v>577</v>
      </c>
      <c r="N270" s="27"/>
      <c r="O270" s="40">
        <f t="shared" si="9"/>
        <v>16427.648</v>
      </c>
      <c r="P270" s="21"/>
    </row>
    <row r="271" spans="2:16" ht="15.75" customHeight="1">
      <c r="B271" s="9" t="s">
        <v>487</v>
      </c>
      <c r="F271" s="43"/>
      <c r="G271" s="16" t="s">
        <v>578</v>
      </c>
      <c r="H271" s="46" t="s">
        <v>578</v>
      </c>
      <c r="I271" s="3"/>
      <c r="J271" s="34" t="s">
        <v>578</v>
      </c>
      <c r="K271" s="56">
        <f>SUM(K182:K270)</f>
        <v>656096.2490000001</v>
      </c>
      <c r="L271" s="221"/>
      <c r="M271" s="56">
        <f>SUM(M182:M270)</f>
        <v>-67406.3</v>
      </c>
      <c r="N271" s="221"/>
      <c r="O271" s="56">
        <f t="shared" si="9"/>
        <v>588689.949</v>
      </c>
      <c r="P271" s="221"/>
    </row>
    <row r="272" spans="2:16" ht="15.75" customHeight="1">
      <c r="B272" t="s">
        <v>488</v>
      </c>
      <c r="F272" s="43"/>
      <c r="G272" s="16" t="s">
        <v>578</v>
      </c>
      <c r="H272" s="46" t="s">
        <v>578</v>
      </c>
      <c r="I272" s="3"/>
      <c r="J272" s="34" t="s">
        <v>578</v>
      </c>
      <c r="K272" s="56">
        <v>65.506</v>
      </c>
      <c r="L272" s="21"/>
      <c r="M272" s="47" t="s">
        <v>577</v>
      </c>
      <c r="N272" s="27"/>
      <c r="O272" s="40">
        <f t="shared" si="9"/>
        <v>65.506</v>
      </c>
      <c r="P272" s="21"/>
    </row>
    <row r="273" spans="2:16" ht="15.75" customHeight="1" thickBot="1">
      <c r="B273" s="75" t="s">
        <v>489</v>
      </c>
      <c r="F273" s="43"/>
      <c r="G273" s="16" t="s">
        <v>578</v>
      </c>
      <c r="H273" s="46" t="s">
        <v>578</v>
      </c>
      <c r="I273" s="3"/>
      <c r="J273" s="34" t="s">
        <v>578</v>
      </c>
      <c r="K273" s="227">
        <f>+K271+K272</f>
        <v>656161.7550000001</v>
      </c>
      <c r="L273" s="228"/>
      <c r="M273" s="227">
        <f>+M271+M272</f>
        <v>-67406.3</v>
      </c>
      <c r="N273" s="228"/>
      <c r="O273" s="227">
        <f>+K273+M273</f>
        <v>588755.4550000001</v>
      </c>
      <c r="P273" s="228"/>
    </row>
    <row r="274" spans="6:16" ht="15.75" customHeight="1" thickTop="1">
      <c r="F274" s="43"/>
      <c r="G274" s="16"/>
      <c r="H274" s="46"/>
      <c r="I274" s="3"/>
      <c r="J274" s="34"/>
      <c r="K274" s="40"/>
      <c r="L274" s="109"/>
      <c r="M274" s="40"/>
      <c r="N274" s="109"/>
      <c r="O274" s="40"/>
      <c r="P274" s="109"/>
    </row>
    <row r="275" spans="2:15" ht="21" customHeight="1">
      <c r="B275" t="s">
        <v>670</v>
      </c>
      <c r="C275" s="43"/>
      <c r="D275" s="65"/>
      <c r="F275" s="158" t="s">
        <v>38</v>
      </c>
      <c r="G275" s="45"/>
      <c r="H275" s="45"/>
      <c r="J275" s="34"/>
      <c r="K275" s="14"/>
      <c r="M275" s="14"/>
      <c r="O275" s="14"/>
    </row>
    <row r="276" spans="2:15" ht="17.25" customHeight="1">
      <c r="B276" s="9" t="s">
        <v>575</v>
      </c>
      <c r="D276" s="3" t="s">
        <v>582</v>
      </c>
      <c r="E276" s="3" t="s">
        <v>583</v>
      </c>
      <c r="F276" s="3"/>
      <c r="G276" s="70"/>
      <c r="I276" s="3"/>
      <c r="J276" s="34"/>
      <c r="K276" s="14"/>
      <c r="M276" s="14"/>
      <c r="O276" s="14"/>
    </row>
    <row r="277" spans="3:16" ht="15.75" customHeight="1">
      <c r="C277" s="43" t="s">
        <v>812</v>
      </c>
      <c r="D277" s="48" t="s">
        <v>593</v>
      </c>
      <c r="E277" s="89" t="s">
        <v>672</v>
      </c>
      <c r="F277" s="158"/>
      <c r="G277" s="46">
        <v>35467</v>
      </c>
      <c r="H277" s="90">
        <v>39097</v>
      </c>
      <c r="I277" s="87"/>
      <c r="J277" s="34" t="s">
        <v>589</v>
      </c>
      <c r="K277" s="40">
        <v>15757.971</v>
      </c>
      <c r="L277" s="21"/>
      <c r="M277" s="113">
        <v>2274.033</v>
      </c>
      <c r="N277" s="27"/>
      <c r="O277" s="40">
        <f aca="true" t="shared" si="10" ref="O277:O283">K277+M277</f>
        <v>18032.004</v>
      </c>
      <c r="P277" s="21"/>
    </row>
    <row r="278" spans="3:16" ht="15.75" customHeight="1">
      <c r="C278" s="43" t="s">
        <v>254</v>
      </c>
      <c r="D278" s="48" t="s">
        <v>593</v>
      </c>
      <c r="E278" s="89" t="s">
        <v>671</v>
      </c>
      <c r="F278" s="158"/>
      <c r="G278" s="46">
        <v>35810</v>
      </c>
      <c r="H278" s="90">
        <v>39462</v>
      </c>
      <c r="I278" s="87"/>
      <c r="J278" s="34" t="s">
        <v>589</v>
      </c>
      <c r="K278" s="40">
        <v>16811.55</v>
      </c>
      <c r="L278" s="21"/>
      <c r="M278" s="113">
        <v>2054.708</v>
      </c>
      <c r="N278" s="27"/>
      <c r="O278" s="40">
        <f t="shared" si="10"/>
        <v>18866.257999999998</v>
      </c>
      <c r="P278" s="21"/>
    </row>
    <row r="279" spans="3:16" ht="15.75" customHeight="1">
      <c r="C279" s="43" t="s">
        <v>255</v>
      </c>
      <c r="D279" s="48" t="s">
        <v>593</v>
      </c>
      <c r="E279" s="89" t="s">
        <v>312</v>
      </c>
      <c r="F279" s="158"/>
      <c r="G279" s="52">
        <v>36175</v>
      </c>
      <c r="H279" s="90">
        <v>39828</v>
      </c>
      <c r="I279" s="87"/>
      <c r="J279" s="34" t="s">
        <v>589</v>
      </c>
      <c r="K279" s="40">
        <v>15902.397</v>
      </c>
      <c r="L279" s="21"/>
      <c r="M279" s="113">
        <v>1677.544</v>
      </c>
      <c r="N279" s="27"/>
      <c r="O279" s="40">
        <f t="shared" si="10"/>
        <v>17579.941000000003</v>
      </c>
      <c r="P279" s="21"/>
    </row>
    <row r="280" spans="3:16" ht="15.75" customHeight="1">
      <c r="C280" s="43" t="s">
        <v>256</v>
      </c>
      <c r="D280" s="48" t="s">
        <v>593</v>
      </c>
      <c r="E280" s="89" t="s">
        <v>639</v>
      </c>
      <c r="F280" s="158"/>
      <c r="G280" s="52">
        <v>36543</v>
      </c>
      <c r="H280" s="90">
        <v>40193</v>
      </c>
      <c r="I280" s="87"/>
      <c r="J280" s="34" t="s">
        <v>589</v>
      </c>
      <c r="K280" s="40">
        <v>11320.963</v>
      </c>
      <c r="L280" s="21"/>
      <c r="M280" s="113">
        <v>878.394</v>
      </c>
      <c r="N280" s="27"/>
      <c r="O280" s="40">
        <f t="shared" si="10"/>
        <v>12199.357</v>
      </c>
      <c r="P280" s="21"/>
    </row>
    <row r="281" spans="3:16" ht="15.75" customHeight="1">
      <c r="C281" s="43" t="s">
        <v>679</v>
      </c>
      <c r="D281" s="48" t="s">
        <v>593</v>
      </c>
      <c r="E281" s="89" t="s">
        <v>680</v>
      </c>
      <c r="F281" s="158"/>
      <c r="G281" s="52">
        <v>36907</v>
      </c>
      <c r="H281" s="90">
        <v>40558</v>
      </c>
      <c r="I281" s="3"/>
      <c r="J281" s="136" t="s">
        <v>589</v>
      </c>
      <c r="K281" s="40">
        <v>11001.036</v>
      </c>
      <c r="L281" s="21"/>
      <c r="M281" s="51">
        <v>458.523</v>
      </c>
      <c r="N281" s="43"/>
      <c r="O281" s="40">
        <f t="shared" si="10"/>
        <v>11459.559</v>
      </c>
      <c r="P281" s="21"/>
    </row>
    <row r="282" spans="3:16" ht="15.75" customHeight="1">
      <c r="C282" s="43" t="s">
        <v>72</v>
      </c>
      <c r="D282" s="48" t="s">
        <v>593</v>
      </c>
      <c r="E282" s="89" t="s">
        <v>672</v>
      </c>
      <c r="F282" s="158"/>
      <c r="G282" s="52">
        <v>37271</v>
      </c>
      <c r="H282" s="90">
        <v>40923</v>
      </c>
      <c r="I282" s="3"/>
      <c r="J282" s="136" t="s">
        <v>589</v>
      </c>
      <c r="K282" s="40">
        <v>6004.283</v>
      </c>
      <c r="L282" s="21"/>
      <c r="M282" s="51">
        <v>126.33</v>
      </c>
      <c r="N282" s="27"/>
      <c r="O282" s="40">
        <f>K282+M282</f>
        <v>6130.613</v>
      </c>
      <c r="P282" s="21"/>
    </row>
    <row r="283" spans="3:16" ht="15.75" customHeight="1">
      <c r="C283" s="43" t="s">
        <v>817</v>
      </c>
      <c r="D283" s="48" t="s">
        <v>621</v>
      </c>
      <c r="E283" s="89">
        <v>3</v>
      </c>
      <c r="F283" s="158"/>
      <c r="G283" s="52">
        <v>37452</v>
      </c>
      <c r="H283" s="90">
        <v>41105</v>
      </c>
      <c r="I283" s="3"/>
      <c r="J283" s="136" t="s">
        <v>866</v>
      </c>
      <c r="K283" s="40">
        <v>23017.886</v>
      </c>
      <c r="L283" s="21"/>
      <c r="M283" s="51">
        <v>191.97</v>
      </c>
      <c r="N283" s="27"/>
      <c r="O283" s="40">
        <f t="shared" si="10"/>
        <v>23209.856</v>
      </c>
      <c r="P283" s="21"/>
    </row>
    <row r="284" spans="2:16" s="75" customFormat="1" ht="21" customHeight="1" thickBot="1">
      <c r="B284" s="233" t="s">
        <v>490</v>
      </c>
      <c r="F284" s="234"/>
      <c r="G284" s="235" t="s">
        <v>578</v>
      </c>
      <c r="H284" s="236" t="s">
        <v>578</v>
      </c>
      <c r="I284" s="76"/>
      <c r="J284" s="237" t="s">
        <v>578</v>
      </c>
      <c r="K284" s="227">
        <f>SUM(K277:K283)</f>
        <v>99816.08600000001</v>
      </c>
      <c r="L284" s="228"/>
      <c r="M284" s="238">
        <f>SUM(M277:M283)</f>
        <v>7661.502</v>
      </c>
      <c r="N284" s="231"/>
      <c r="O284" s="227">
        <f>K284+M284</f>
        <v>107477.58800000002</v>
      </c>
      <c r="P284" s="228"/>
    </row>
    <row r="285" spans="2:16" ht="15.75" customHeight="1" thickTop="1">
      <c r="B285" s="86"/>
      <c r="F285" s="43"/>
      <c r="G285" s="16"/>
      <c r="H285" s="46"/>
      <c r="I285" s="3"/>
      <c r="J285" s="34"/>
      <c r="K285" s="40"/>
      <c r="L285" s="109"/>
      <c r="M285" s="40"/>
      <c r="N285" s="109"/>
      <c r="O285" s="40"/>
      <c r="P285" s="109"/>
    </row>
    <row r="286" spans="2:16" ht="21" customHeight="1">
      <c r="B286" t="s">
        <v>673</v>
      </c>
      <c r="C286" s="43"/>
      <c r="D286" s="65"/>
      <c r="F286" s="158" t="s">
        <v>38</v>
      </c>
      <c r="G286" s="16"/>
      <c r="H286" s="46"/>
      <c r="I286" s="3"/>
      <c r="J286" s="34"/>
      <c r="K286" s="40"/>
      <c r="L286" s="109"/>
      <c r="M286" s="40"/>
      <c r="N286" s="109"/>
      <c r="O286" s="40"/>
      <c r="P286" s="109"/>
    </row>
    <row r="287" spans="2:16" ht="17.25" customHeight="1">
      <c r="B287" s="9" t="s">
        <v>575</v>
      </c>
      <c r="D287" s="3"/>
      <c r="E287" s="3" t="s">
        <v>583</v>
      </c>
      <c r="F287" s="3"/>
      <c r="G287" s="70"/>
      <c r="H287" s="90"/>
      <c r="I287" s="87"/>
      <c r="J287" s="34"/>
      <c r="K287" s="40"/>
      <c r="L287" s="109"/>
      <c r="M287" s="47"/>
      <c r="N287" s="27"/>
      <c r="O287" s="40"/>
      <c r="P287" s="109"/>
    </row>
    <row r="288" spans="2:16" ht="15.75" customHeight="1">
      <c r="B288" s="86"/>
      <c r="C288" s="43" t="s">
        <v>408</v>
      </c>
      <c r="D288" s="48"/>
      <c r="E288" s="89" t="s">
        <v>671</v>
      </c>
      <c r="F288" s="158"/>
      <c r="G288" s="46">
        <v>35900</v>
      </c>
      <c r="H288" s="90">
        <v>46858</v>
      </c>
      <c r="I288" s="87"/>
      <c r="J288" s="34" t="s">
        <v>605</v>
      </c>
      <c r="K288" s="40">
        <v>16808.478</v>
      </c>
      <c r="L288" s="21"/>
      <c r="M288" s="113">
        <v>2004.626</v>
      </c>
      <c r="N288" s="27"/>
      <c r="O288" s="40">
        <f>K288+M288</f>
        <v>18813.104</v>
      </c>
      <c r="P288" s="21"/>
    </row>
    <row r="289" spans="2:15" ht="15.75" customHeight="1">
      <c r="B289" s="86"/>
      <c r="C289" s="43" t="s">
        <v>258</v>
      </c>
      <c r="D289" s="48"/>
      <c r="E289" s="89" t="s">
        <v>312</v>
      </c>
      <c r="F289" s="158"/>
      <c r="G289" s="52">
        <v>36265</v>
      </c>
      <c r="H289" s="90">
        <v>47223</v>
      </c>
      <c r="I289" s="87"/>
      <c r="J289" s="34" t="s">
        <v>605</v>
      </c>
      <c r="K289" s="40">
        <v>19722.104</v>
      </c>
      <c r="L289" s="21"/>
      <c r="M289" s="113">
        <v>1779.862</v>
      </c>
      <c r="N289" s="27"/>
      <c r="O289" s="40">
        <f>K289+M289</f>
        <v>21501.966</v>
      </c>
    </row>
    <row r="290" spans="2:15" ht="15.75" customHeight="1">
      <c r="B290" s="86"/>
      <c r="C290" s="43" t="s">
        <v>731</v>
      </c>
      <c r="D290" s="48"/>
      <c r="E290" s="89" t="s">
        <v>672</v>
      </c>
      <c r="F290" s="158"/>
      <c r="G290" s="52">
        <v>37179</v>
      </c>
      <c r="H290" s="90">
        <v>48319</v>
      </c>
      <c r="I290" s="87"/>
      <c r="J290" s="34" t="s">
        <v>605</v>
      </c>
      <c r="K290" s="40">
        <v>5012.235</v>
      </c>
      <c r="L290" s="21"/>
      <c r="M290" s="113">
        <v>107.312</v>
      </c>
      <c r="N290" s="27"/>
      <c r="O290" s="40">
        <f>K290+M290</f>
        <v>5119.547</v>
      </c>
    </row>
    <row r="291" spans="2:16" s="75" customFormat="1" ht="21" customHeight="1" thickBot="1">
      <c r="B291" s="233" t="s">
        <v>491</v>
      </c>
      <c r="F291" s="234"/>
      <c r="G291" s="235" t="s">
        <v>578</v>
      </c>
      <c r="H291" s="236" t="s">
        <v>578</v>
      </c>
      <c r="I291" s="76"/>
      <c r="J291" s="237" t="s">
        <v>578</v>
      </c>
      <c r="K291" s="238">
        <f>SUM(K288:K290)</f>
        <v>41542.816999999995</v>
      </c>
      <c r="L291" s="228"/>
      <c r="M291" s="238">
        <f>SUM(M288:M290)</f>
        <v>3891.8</v>
      </c>
      <c r="N291" s="239"/>
      <c r="O291" s="227">
        <f>K291+M291</f>
        <v>45434.617</v>
      </c>
      <c r="P291" s="228"/>
    </row>
    <row r="292" spans="6:16" ht="15.75" customHeight="1" thickTop="1">
      <c r="F292" s="43"/>
      <c r="G292" s="16"/>
      <c r="H292" s="46"/>
      <c r="I292" s="3"/>
      <c r="J292" s="34"/>
      <c r="K292" s="40"/>
      <c r="L292" s="21"/>
      <c r="M292" s="47"/>
      <c r="N292" s="27"/>
      <c r="O292" s="93"/>
      <c r="P292" s="21"/>
    </row>
    <row r="293" spans="1:16" ht="18" customHeight="1" thickBot="1">
      <c r="A293" s="232" t="s">
        <v>492</v>
      </c>
      <c r="B293" s="232"/>
      <c r="F293" s="71"/>
      <c r="G293" s="49" t="s">
        <v>578</v>
      </c>
      <c r="H293" s="49" t="s">
        <v>578</v>
      </c>
      <c r="I293" s="8"/>
      <c r="J293" s="50" t="s">
        <v>578</v>
      </c>
      <c r="K293" s="112">
        <f>+K291+K284+K273+K143+K56</f>
        <v>3253033.1440000003</v>
      </c>
      <c r="L293" s="129"/>
      <c r="M293" s="112">
        <f>+M291+M284+M273+M143+M56</f>
        <v>-55852.99800000001</v>
      </c>
      <c r="N293" s="129"/>
      <c r="O293" s="112">
        <f>K293+M293</f>
        <v>3197180.146</v>
      </c>
      <c r="P293" s="128"/>
    </row>
    <row r="294" spans="6:16" ht="15.75" customHeight="1" thickTop="1">
      <c r="F294" s="114"/>
      <c r="G294" s="115"/>
      <c r="H294" s="115"/>
      <c r="I294" s="8"/>
      <c r="J294" s="116"/>
      <c r="K294" s="117"/>
      <c r="L294" s="118"/>
      <c r="M294" s="117"/>
      <c r="N294" s="118"/>
      <c r="O294" s="117"/>
      <c r="P294" s="119"/>
    </row>
    <row r="295" spans="6:16" ht="15.75" customHeight="1">
      <c r="F295" s="114"/>
      <c r="G295" s="115"/>
      <c r="H295" s="115"/>
      <c r="I295" s="8"/>
      <c r="J295" s="116"/>
      <c r="K295" s="117"/>
      <c r="L295" s="118"/>
      <c r="M295" s="117"/>
      <c r="N295" s="118"/>
      <c r="O295" s="117"/>
      <c r="P295" s="119"/>
    </row>
    <row r="296" spans="6:16" ht="15.75" customHeight="1">
      <c r="F296" s="114"/>
      <c r="G296" s="115"/>
      <c r="H296" s="115"/>
      <c r="I296" s="8"/>
      <c r="J296" s="116"/>
      <c r="K296" s="117"/>
      <c r="L296" s="118"/>
      <c r="M296" s="117"/>
      <c r="N296" s="118"/>
      <c r="O296" s="117"/>
      <c r="P296" s="119"/>
    </row>
    <row r="297" spans="6:16" ht="15.75" customHeight="1">
      <c r="F297" s="114"/>
      <c r="G297" s="115"/>
      <c r="H297" s="115"/>
      <c r="I297" s="8"/>
      <c r="J297" s="116"/>
      <c r="K297" s="117"/>
      <c r="L297" s="118"/>
      <c r="M297" s="117"/>
      <c r="N297" s="118"/>
      <c r="O297" s="117"/>
      <c r="P297" s="119"/>
    </row>
    <row r="298" spans="6:16" ht="15.75" customHeight="1">
      <c r="F298" s="114"/>
      <c r="G298" s="115"/>
      <c r="H298" s="115"/>
      <c r="I298" s="8"/>
      <c r="J298" s="116"/>
      <c r="K298" s="117"/>
      <c r="L298" s="118"/>
      <c r="M298" s="117"/>
      <c r="N298" s="118"/>
      <c r="O298" s="117"/>
      <c r="P298" s="119"/>
    </row>
    <row r="299" spans="6:16" ht="15.75" customHeight="1">
      <c r="F299" s="114"/>
      <c r="G299" s="115"/>
      <c r="H299" s="115"/>
      <c r="I299" s="8"/>
      <c r="J299" s="116"/>
      <c r="K299" s="117"/>
      <c r="L299" s="118"/>
      <c r="M299" s="117"/>
      <c r="N299" s="118"/>
      <c r="O299" s="117"/>
      <c r="P299" s="119"/>
    </row>
    <row r="300" spans="6:16" ht="15.75" customHeight="1">
      <c r="F300" s="114"/>
      <c r="G300" s="115"/>
      <c r="H300" s="115"/>
      <c r="I300" s="8"/>
      <c r="J300" s="116"/>
      <c r="K300" s="117"/>
      <c r="L300" s="118"/>
      <c r="M300" s="117"/>
      <c r="N300" s="118"/>
      <c r="O300" s="117"/>
      <c r="P300" s="119"/>
    </row>
    <row r="301" spans="6:16" ht="15.75" customHeight="1">
      <c r="F301" s="114"/>
      <c r="G301" s="115"/>
      <c r="H301" s="115"/>
      <c r="I301" s="8"/>
      <c r="J301" s="116"/>
      <c r="K301" s="117"/>
      <c r="L301" s="118"/>
      <c r="M301" s="117"/>
      <c r="N301" s="118"/>
      <c r="O301" s="117"/>
      <c r="P301" s="119"/>
    </row>
    <row r="302" spans="6:16" ht="15.75" customHeight="1">
      <c r="F302" s="114"/>
      <c r="G302" s="115"/>
      <c r="H302" s="115"/>
      <c r="I302" s="8"/>
      <c r="J302" s="116"/>
      <c r="K302" s="117"/>
      <c r="L302" s="118"/>
      <c r="M302" s="117"/>
      <c r="N302" s="118"/>
      <c r="O302" s="117"/>
      <c r="P302" s="119"/>
    </row>
    <row r="303" spans="6:16" ht="15.75" customHeight="1">
      <c r="F303" s="114"/>
      <c r="G303" s="115"/>
      <c r="H303" s="115"/>
      <c r="I303" s="8"/>
      <c r="J303" s="116"/>
      <c r="K303" s="117"/>
      <c r="L303" s="118"/>
      <c r="M303" s="117"/>
      <c r="N303" s="118"/>
      <c r="O303" s="117"/>
      <c r="P303" s="119"/>
    </row>
    <row r="304" spans="6:16" ht="15.75" customHeight="1">
      <c r="F304" s="114"/>
      <c r="G304" s="115"/>
      <c r="H304" s="115"/>
      <c r="I304" s="8"/>
      <c r="J304" s="116"/>
      <c r="K304" s="117"/>
      <c r="L304" s="118"/>
      <c r="M304" s="117"/>
      <c r="N304" s="118"/>
      <c r="O304" s="117"/>
      <c r="P304" s="119"/>
    </row>
    <row r="305" spans="6:16" ht="15.75" customHeight="1">
      <c r="F305" s="114"/>
      <c r="G305" s="115"/>
      <c r="H305" s="115"/>
      <c r="I305" s="8"/>
      <c r="J305" s="116"/>
      <c r="K305" s="117"/>
      <c r="L305" s="118"/>
      <c r="M305" s="117"/>
      <c r="N305" s="118"/>
      <c r="O305" s="117"/>
      <c r="P305" s="119"/>
    </row>
    <row r="306" spans="6:16" ht="15.75" customHeight="1">
      <c r="F306" s="114"/>
      <c r="G306" s="115"/>
      <c r="H306" s="115"/>
      <c r="I306" s="8"/>
      <c r="J306" s="116"/>
      <c r="K306" s="117"/>
      <c r="L306" s="118"/>
      <c r="M306" s="117"/>
      <c r="N306" s="118"/>
      <c r="O306" s="117"/>
      <c r="P306" s="119"/>
    </row>
    <row r="307" spans="6:16" ht="15.75" customHeight="1">
      <c r="F307" s="114"/>
      <c r="G307" s="115"/>
      <c r="H307" s="115"/>
      <c r="I307" s="8"/>
      <c r="J307" s="116"/>
      <c r="K307" s="117"/>
      <c r="L307" s="118"/>
      <c r="M307" s="117"/>
      <c r="N307" s="118"/>
      <c r="O307" s="117"/>
      <c r="P307" s="119"/>
    </row>
    <row r="308" spans="6:16" ht="15.75" customHeight="1">
      <c r="F308" s="114"/>
      <c r="G308" s="115"/>
      <c r="H308" s="115"/>
      <c r="I308" s="8"/>
      <c r="J308" s="116"/>
      <c r="K308" s="117"/>
      <c r="L308" s="118"/>
      <c r="M308" s="117"/>
      <c r="N308" s="118"/>
      <c r="O308" s="117"/>
      <c r="P308" s="119"/>
    </row>
    <row r="309" spans="6:16" ht="15.75" customHeight="1">
      <c r="F309" s="114"/>
      <c r="G309" s="115"/>
      <c r="H309" s="115"/>
      <c r="I309" s="8"/>
      <c r="J309" s="116"/>
      <c r="K309" s="117"/>
      <c r="L309" s="118"/>
      <c r="M309" s="117"/>
      <c r="N309" s="118"/>
      <c r="O309" s="117"/>
      <c r="P309" s="119"/>
    </row>
    <row r="310" spans="6:16" ht="15.75" customHeight="1">
      <c r="F310" s="114"/>
      <c r="G310" s="115"/>
      <c r="H310" s="115"/>
      <c r="I310" s="8"/>
      <c r="J310" s="116"/>
      <c r="K310" s="117"/>
      <c r="L310" s="118"/>
      <c r="M310" s="117"/>
      <c r="N310" s="118"/>
      <c r="O310" s="117"/>
      <c r="P310" s="119"/>
    </row>
    <row r="311" spans="6:16" ht="15.75" customHeight="1">
      <c r="F311" s="114"/>
      <c r="G311" s="115"/>
      <c r="H311" s="115"/>
      <c r="I311" s="8"/>
      <c r="J311" s="116"/>
      <c r="K311" s="117"/>
      <c r="L311" s="118"/>
      <c r="M311" s="117"/>
      <c r="N311" s="118"/>
      <c r="O311" s="117"/>
      <c r="P311" s="119"/>
    </row>
    <row r="312" spans="6:16" ht="15.75" customHeight="1">
      <c r="F312" s="114"/>
      <c r="G312" s="115"/>
      <c r="H312" s="115"/>
      <c r="I312" s="8"/>
      <c r="J312" s="116"/>
      <c r="K312" s="117"/>
      <c r="L312" s="118"/>
      <c r="M312" s="117"/>
      <c r="N312" s="118"/>
      <c r="O312" s="117"/>
      <c r="P312" s="119"/>
    </row>
    <row r="313" spans="6:16" ht="15.75" customHeight="1">
      <c r="F313" s="114"/>
      <c r="G313" s="115"/>
      <c r="H313" s="115"/>
      <c r="I313" s="8"/>
      <c r="J313" s="116"/>
      <c r="K313" s="117"/>
      <c r="L313" s="118"/>
      <c r="M313" s="117"/>
      <c r="N313" s="118"/>
      <c r="O313" s="117"/>
      <c r="P313" s="119"/>
    </row>
    <row r="314" spans="6:16" ht="15.75" customHeight="1">
      <c r="F314" s="114"/>
      <c r="G314" s="115"/>
      <c r="H314" s="115"/>
      <c r="I314" s="8"/>
      <c r="J314" s="116"/>
      <c r="K314" s="117"/>
      <c r="L314" s="118"/>
      <c r="M314" s="117"/>
      <c r="N314" s="118"/>
      <c r="O314" s="117"/>
      <c r="P314" s="119"/>
    </row>
    <row r="315" spans="6:16" ht="15.75" customHeight="1">
      <c r="F315" s="114"/>
      <c r="G315" s="115"/>
      <c r="H315" s="115"/>
      <c r="I315" s="8"/>
      <c r="J315" s="116"/>
      <c r="K315" s="117"/>
      <c r="L315" s="118"/>
      <c r="M315" s="117"/>
      <c r="N315" s="118"/>
      <c r="O315" s="117"/>
      <c r="P315" s="119"/>
    </row>
    <row r="316" spans="6:16" ht="15.75" customHeight="1">
      <c r="F316" s="114"/>
      <c r="G316" s="115"/>
      <c r="H316" s="115"/>
      <c r="I316" s="8"/>
      <c r="J316" s="116"/>
      <c r="K316" s="117"/>
      <c r="L316" s="118"/>
      <c r="M316" s="117"/>
      <c r="N316" s="118"/>
      <c r="O316" s="117"/>
      <c r="P316" s="119"/>
    </row>
    <row r="317" spans="6:16" ht="15.75" customHeight="1">
      <c r="F317" s="114"/>
      <c r="G317" s="115"/>
      <c r="H317" s="115"/>
      <c r="I317" s="8"/>
      <c r="J317" s="116"/>
      <c r="K317" s="117"/>
      <c r="L317" s="118"/>
      <c r="M317" s="117"/>
      <c r="N317" s="118"/>
      <c r="O317" s="117"/>
      <c r="P317" s="119"/>
    </row>
    <row r="318" spans="6:16" ht="15.75" customHeight="1">
      <c r="F318" s="114"/>
      <c r="G318" s="115"/>
      <c r="H318" s="115"/>
      <c r="I318" s="8"/>
      <c r="J318" s="116"/>
      <c r="K318" s="117"/>
      <c r="L318" s="118"/>
      <c r="M318" s="117"/>
      <c r="N318" s="118"/>
      <c r="O318" s="117"/>
      <c r="P318" s="119"/>
    </row>
    <row r="319" spans="6:16" ht="15.75" customHeight="1">
      <c r="F319" s="114"/>
      <c r="G319" s="115"/>
      <c r="H319" s="115"/>
      <c r="I319" s="8"/>
      <c r="J319" s="116"/>
      <c r="K319" s="117"/>
      <c r="L319" s="118"/>
      <c r="M319" s="117"/>
      <c r="N319" s="118"/>
      <c r="O319" s="117"/>
      <c r="P319" s="119"/>
    </row>
    <row r="320" spans="6:16" ht="15.75" customHeight="1">
      <c r="F320" s="114"/>
      <c r="G320" s="115"/>
      <c r="H320" s="115"/>
      <c r="I320" s="8"/>
      <c r="J320" s="116"/>
      <c r="K320" s="117"/>
      <c r="L320" s="118"/>
      <c r="M320" s="117"/>
      <c r="N320" s="118"/>
      <c r="O320" s="117"/>
      <c r="P320" s="119"/>
    </row>
    <row r="321" spans="6:16" ht="15.75" customHeight="1">
      <c r="F321" s="114"/>
      <c r="G321" s="115"/>
      <c r="H321" s="115"/>
      <c r="I321" s="8"/>
      <c r="J321" s="116"/>
      <c r="K321" s="117"/>
      <c r="L321" s="118"/>
      <c r="M321" s="117"/>
      <c r="N321" s="118"/>
      <c r="O321" s="117"/>
      <c r="P321" s="119"/>
    </row>
    <row r="322" spans="6:16" ht="15.75" customHeight="1">
      <c r="F322" s="114"/>
      <c r="G322" s="115"/>
      <c r="H322" s="115"/>
      <c r="I322" s="8"/>
      <c r="J322" s="116"/>
      <c r="K322" s="117"/>
      <c r="L322" s="118"/>
      <c r="M322" s="117"/>
      <c r="N322" s="118"/>
      <c r="O322" s="117"/>
      <c r="P322" s="119"/>
    </row>
    <row r="323" spans="6:16" ht="15.75" customHeight="1">
      <c r="F323" s="114"/>
      <c r="G323" s="115"/>
      <c r="H323" s="115"/>
      <c r="I323" s="8"/>
      <c r="J323" s="116"/>
      <c r="K323" s="117"/>
      <c r="L323" s="118"/>
      <c r="M323" s="117"/>
      <c r="N323" s="118"/>
      <c r="O323" s="117"/>
      <c r="P323" s="119"/>
    </row>
    <row r="324" spans="6:16" ht="15.75" customHeight="1">
      <c r="F324" s="114"/>
      <c r="G324" s="115"/>
      <c r="H324" s="115"/>
      <c r="I324" s="8"/>
      <c r="J324" s="116"/>
      <c r="K324" s="117"/>
      <c r="L324" s="118"/>
      <c r="M324" s="117"/>
      <c r="N324" s="118"/>
      <c r="O324" s="117"/>
      <c r="P324" s="119"/>
    </row>
    <row r="325" spans="6:16" ht="15.75" customHeight="1">
      <c r="F325" s="114"/>
      <c r="G325" s="115"/>
      <c r="H325" s="115"/>
      <c r="I325" s="8"/>
      <c r="J325" s="116"/>
      <c r="K325" s="117"/>
      <c r="L325" s="118"/>
      <c r="M325" s="117"/>
      <c r="N325" s="118"/>
      <c r="O325" s="117"/>
      <c r="P325" s="119"/>
    </row>
    <row r="326" spans="6:16" ht="15.75" customHeight="1">
      <c r="F326" s="114"/>
      <c r="G326" s="115"/>
      <c r="H326" s="115"/>
      <c r="I326" s="8"/>
      <c r="J326" s="116"/>
      <c r="K326" s="117"/>
      <c r="L326" s="118"/>
      <c r="M326" s="117"/>
      <c r="N326" s="118"/>
      <c r="O326" s="117"/>
      <c r="P326" s="119"/>
    </row>
    <row r="327" spans="6:16" ht="15.75" customHeight="1">
      <c r="F327" s="114"/>
      <c r="G327" s="115"/>
      <c r="H327" s="115"/>
      <c r="I327" s="8"/>
      <c r="J327" s="116"/>
      <c r="K327" s="117"/>
      <c r="L327" s="118"/>
      <c r="M327" s="117"/>
      <c r="N327" s="118"/>
      <c r="O327" s="117"/>
      <c r="P327" s="119"/>
    </row>
    <row r="328" spans="6:16" ht="15.75" customHeight="1">
      <c r="F328" s="114"/>
      <c r="G328" s="115"/>
      <c r="H328" s="115"/>
      <c r="I328" s="8"/>
      <c r="J328" s="116"/>
      <c r="K328" s="117"/>
      <c r="L328" s="118"/>
      <c r="M328" s="117"/>
      <c r="N328" s="118"/>
      <c r="O328" s="117"/>
      <c r="P328" s="119"/>
    </row>
    <row r="329" spans="6:16" ht="15.75" customHeight="1">
      <c r="F329" s="114"/>
      <c r="G329" s="115"/>
      <c r="H329" s="115"/>
      <c r="I329" s="8"/>
      <c r="J329" s="116"/>
      <c r="K329" s="117"/>
      <c r="L329" s="118"/>
      <c r="M329" s="117"/>
      <c r="N329" s="118"/>
      <c r="O329" s="117"/>
      <c r="P329" s="119"/>
    </row>
    <row r="330" spans="6:16" ht="15.75" customHeight="1">
      <c r="F330" s="114"/>
      <c r="G330" s="115"/>
      <c r="H330" s="115"/>
      <c r="I330" s="8"/>
      <c r="J330" s="116"/>
      <c r="K330" s="117"/>
      <c r="L330" s="118"/>
      <c r="M330" s="117"/>
      <c r="N330" s="118"/>
      <c r="O330" s="117"/>
      <c r="P330" s="119"/>
    </row>
    <row r="331" spans="6:16" ht="15.75" customHeight="1">
      <c r="F331" s="114"/>
      <c r="G331" s="115"/>
      <c r="H331" s="115"/>
      <c r="I331" s="8"/>
      <c r="J331" s="116"/>
      <c r="K331" s="117"/>
      <c r="L331" s="118"/>
      <c r="M331" s="117"/>
      <c r="N331" s="118"/>
      <c r="O331" s="117"/>
      <c r="P331" s="119"/>
    </row>
    <row r="332" spans="6:16" ht="15.75" customHeight="1">
      <c r="F332" s="114"/>
      <c r="G332" s="115"/>
      <c r="H332" s="115"/>
      <c r="I332" s="8"/>
      <c r="J332" s="116"/>
      <c r="K332" s="117"/>
      <c r="L332" s="118"/>
      <c r="M332" s="117"/>
      <c r="N332" s="118"/>
      <c r="O332" s="117"/>
      <c r="P332" s="119"/>
    </row>
    <row r="333" spans="6:16" ht="15.75" customHeight="1">
      <c r="F333" s="114"/>
      <c r="G333" s="115"/>
      <c r="H333" s="115"/>
      <c r="I333" s="8"/>
      <c r="J333" s="116"/>
      <c r="K333" s="117"/>
      <c r="L333" s="118"/>
      <c r="M333" s="117"/>
      <c r="N333" s="118"/>
      <c r="O333" s="117"/>
      <c r="P333" s="119"/>
    </row>
    <row r="334" spans="6:16" ht="15.75" customHeight="1">
      <c r="F334" s="114"/>
      <c r="G334" s="115"/>
      <c r="H334" s="115"/>
      <c r="I334" s="8"/>
      <c r="J334" s="116"/>
      <c r="K334" s="117"/>
      <c r="L334" s="118"/>
      <c r="M334" s="117"/>
      <c r="N334" s="118"/>
      <c r="O334" s="117"/>
      <c r="P334" s="119"/>
    </row>
    <row r="335" spans="6:16" ht="15.75" customHeight="1">
      <c r="F335" s="114"/>
      <c r="G335" s="115"/>
      <c r="H335" s="115"/>
      <c r="I335" s="8"/>
      <c r="J335" s="116"/>
      <c r="K335" s="117"/>
      <c r="L335" s="118"/>
      <c r="M335" s="117"/>
      <c r="N335" s="118"/>
      <c r="O335" s="117"/>
      <c r="P335" s="119"/>
    </row>
    <row r="336" spans="6:16" ht="15.75" customHeight="1">
      <c r="F336" s="114"/>
      <c r="G336" s="115"/>
      <c r="H336" s="115"/>
      <c r="I336" s="8"/>
      <c r="J336" s="116"/>
      <c r="K336" s="117"/>
      <c r="L336" s="118"/>
      <c r="M336" s="117"/>
      <c r="N336" s="118"/>
      <c r="O336" s="117"/>
      <c r="P336" s="119"/>
    </row>
    <row r="337" spans="6:16" ht="15.75" customHeight="1">
      <c r="F337" s="114"/>
      <c r="G337" s="115"/>
      <c r="H337" s="115"/>
      <c r="I337" s="8"/>
      <c r="J337" s="116"/>
      <c r="K337" s="117"/>
      <c r="L337" s="118"/>
      <c r="M337" s="117"/>
      <c r="N337" s="118"/>
      <c r="O337" s="117"/>
      <c r="P337" s="119"/>
    </row>
    <row r="338" spans="6:16" ht="15.75" customHeight="1">
      <c r="F338" s="114"/>
      <c r="G338" s="115"/>
      <c r="H338" s="115"/>
      <c r="I338" s="8"/>
      <c r="J338" s="116"/>
      <c r="K338" s="117"/>
      <c r="L338" s="118"/>
      <c r="M338" s="117"/>
      <c r="N338" s="118"/>
      <c r="O338" s="117"/>
      <c r="P338" s="119"/>
    </row>
    <row r="339" spans="6:16" ht="15.75" customHeight="1">
      <c r="F339" s="114"/>
      <c r="G339" s="115"/>
      <c r="H339" s="115"/>
      <c r="I339" s="8"/>
      <c r="J339" s="116"/>
      <c r="K339" s="117"/>
      <c r="L339" s="118"/>
      <c r="M339" s="117"/>
      <c r="N339" s="118"/>
      <c r="O339" s="117"/>
      <c r="P339" s="119"/>
    </row>
    <row r="340" spans="6:16" s="101" customFormat="1" ht="15.75" customHeight="1" thickBot="1">
      <c r="F340" s="177"/>
      <c r="G340" s="178"/>
      <c r="H340" s="178"/>
      <c r="I340" s="179"/>
      <c r="J340" s="180"/>
      <c r="K340" s="181"/>
      <c r="L340" s="182"/>
      <c r="M340" s="181"/>
      <c r="N340" s="182"/>
      <c r="O340" s="181"/>
      <c r="P340" s="123"/>
    </row>
    <row r="341" ht="15.75" thickTop="1">
      <c r="I341" s="31"/>
    </row>
    <row r="342" ht="16.5" customHeight="1">
      <c r="I342" s="31"/>
    </row>
    <row r="343" ht="15">
      <c r="I343" s="31"/>
    </row>
    <row r="344" ht="15">
      <c r="I344" s="31"/>
    </row>
    <row r="345" ht="15">
      <c r="I345" s="31"/>
    </row>
  </sheetData>
  <printOptions horizontalCentered="1"/>
  <pageMargins left="0" right="0" top="0.4" bottom="0.25" header="0" footer="0"/>
  <pageSetup fitToHeight="4" horizontalDpi="300" verticalDpi="300" orientation="portrait" scale="49" r:id="rId1"/>
  <rowBreaks count="4" manualBreakCount="4">
    <brk id="84" max="16" man="1"/>
    <brk id="170" max="16" man="1"/>
    <brk id="256" max="16" man="1"/>
    <brk id="3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showGridLines="0" view="pageBreakPreview" zoomScale="75" zoomScaleNormal="75" zoomScaleSheetLayoutView="75" workbookViewId="0" topLeftCell="A58">
      <selection activeCell="A75" sqref="A75:IV75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(Marketable!B85)</f>
        <v>TABLE III - DETAIL OF TREASURY SECURITIES OUTSTANDING, JANUARY 31, 2003 --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563</v>
      </c>
      <c r="H4" s="16" t="s">
        <v>564</v>
      </c>
      <c r="I4" s="29"/>
      <c r="J4" s="34" t="s">
        <v>565</v>
      </c>
      <c r="K4" s="16" t="s">
        <v>566</v>
      </c>
      <c r="L4" s="3"/>
      <c r="M4" s="3"/>
      <c r="N4" s="3"/>
      <c r="O4" s="3"/>
      <c r="P4" s="3"/>
    </row>
    <row r="5" spans="1:11" ht="15.75" customHeight="1">
      <c r="A5" s="3" t="s">
        <v>567</v>
      </c>
      <c r="B5" s="3"/>
      <c r="C5" s="3"/>
      <c r="D5" s="3"/>
      <c r="E5" s="3"/>
      <c r="F5" s="3"/>
      <c r="G5" s="16" t="s">
        <v>568</v>
      </c>
      <c r="H5" s="16" t="s">
        <v>569</v>
      </c>
      <c r="I5" s="29"/>
      <c r="J5" s="34" t="s">
        <v>570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571</v>
      </c>
      <c r="L6" s="170"/>
      <c r="M6" s="37" t="s">
        <v>572</v>
      </c>
      <c r="N6" s="38"/>
      <c r="O6" s="37" t="s">
        <v>531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7"/>
      <c r="J7" s="14"/>
      <c r="K7" s="16"/>
      <c r="L7" s="13"/>
      <c r="M7" s="16"/>
      <c r="N7" s="98"/>
      <c r="O7" s="16"/>
      <c r="P7" s="98"/>
    </row>
    <row r="8" spans="1:20" ht="18">
      <c r="A8" s="23" t="s">
        <v>535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21" customHeight="1">
      <c r="B9" s="9" t="s">
        <v>675</v>
      </c>
      <c r="G9" s="14"/>
      <c r="H9" s="14"/>
      <c r="J9" s="14"/>
      <c r="K9" s="14"/>
      <c r="L9" s="25"/>
      <c r="M9" s="14"/>
      <c r="O9" s="14"/>
    </row>
    <row r="10" spans="2:15" ht="16.5" customHeight="1">
      <c r="B10" s="9"/>
      <c r="C10" s="9" t="s">
        <v>757</v>
      </c>
      <c r="G10" s="14"/>
      <c r="H10" s="14"/>
      <c r="J10" s="14"/>
      <c r="K10" s="14"/>
      <c r="L10" s="25"/>
      <c r="M10" s="14"/>
      <c r="O10" s="69"/>
    </row>
    <row r="11" spans="3:16" ht="16.5" customHeight="1">
      <c r="C11" s="9" t="s">
        <v>758</v>
      </c>
      <c r="F11" s="158">
        <v>9</v>
      </c>
      <c r="G11" s="91" t="s">
        <v>759</v>
      </c>
      <c r="H11" s="92" t="s">
        <v>759</v>
      </c>
      <c r="I11" s="3"/>
      <c r="J11" s="91" t="s">
        <v>759</v>
      </c>
      <c r="K11" s="40">
        <v>510.038</v>
      </c>
      <c r="L11" s="25"/>
      <c r="M11" s="51">
        <v>-509.977</v>
      </c>
      <c r="N11" s="25"/>
      <c r="O11" s="51" t="s">
        <v>761</v>
      </c>
      <c r="P11" s="21"/>
    </row>
    <row r="12" spans="3:16" ht="16.5" customHeight="1">
      <c r="C12" s="9" t="s">
        <v>676</v>
      </c>
      <c r="G12" s="91">
        <v>32808</v>
      </c>
      <c r="H12" s="92">
        <v>43753</v>
      </c>
      <c r="I12" s="3"/>
      <c r="J12" s="91">
        <v>43753</v>
      </c>
      <c r="K12" s="40">
        <v>4522.068</v>
      </c>
      <c r="L12" s="25"/>
      <c r="M12" s="47" t="s">
        <v>577</v>
      </c>
      <c r="N12" s="171"/>
      <c r="O12" s="40">
        <f aca="true" t="shared" si="0" ref="O12:O19">K12+M12</f>
        <v>4522.068</v>
      </c>
      <c r="P12" s="21"/>
    </row>
    <row r="13" spans="3:16" ht="16.5" customHeight="1">
      <c r="C13" s="9" t="s">
        <v>676</v>
      </c>
      <c r="G13" s="91">
        <v>33070</v>
      </c>
      <c r="H13" s="92">
        <v>44027</v>
      </c>
      <c r="I13" s="3"/>
      <c r="J13" s="91">
        <v>44027</v>
      </c>
      <c r="K13" s="40">
        <v>5026.13</v>
      </c>
      <c r="L13" s="20"/>
      <c r="M13" s="47" t="s">
        <v>577</v>
      </c>
      <c r="N13" s="27"/>
      <c r="O13" s="40">
        <f t="shared" si="0"/>
        <v>5026.13</v>
      </c>
      <c r="P13" s="21"/>
    </row>
    <row r="14" spans="3:16" ht="16.5" customHeight="1">
      <c r="C14" s="9" t="s">
        <v>677</v>
      </c>
      <c r="G14" s="91">
        <v>33151</v>
      </c>
      <c r="H14" s="92">
        <v>44119</v>
      </c>
      <c r="I14" s="3"/>
      <c r="J14" s="91">
        <v>44119</v>
      </c>
      <c r="K14" s="40">
        <v>2.75</v>
      </c>
      <c r="L14" s="20"/>
      <c r="M14" s="47" t="s">
        <v>577</v>
      </c>
      <c r="N14" s="27"/>
      <c r="O14" s="40">
        <f t="shared" si="0"/>
        <v>2.75</v>
      </c>
      <c r="P14" s="21"/>
    </row>
    <row r="15" spans="3:16" ht="16.5" customHeight="1">
      <c r="C15" s="9" t="s">
        <v>678</v>
      </c>
      <c r="G15" s="91">
        <v>33151</v>
      </c>
      <c r="H15" s="92">
        <v>44119</v>
      </c>
      <c r="I15" s="3"/>
      <c r="J15" s="91">
        <v>44119</v>
      </c>
      <c r="K15" s="40">
        <v>5000</v>
      </c>
      <c r="L15" s="20"/>
      <c r="M15" s="47" t="s">
        <v>577</v>
      </c>
      <c r="N15" s="27"/>
      <c r="O15" s="40">
        <f>K15+M15</f>
        <v>5000</v>
      </c>
      <c r="P15" s="21"/>
    </row>
    <row r="16" spans="3:16" ht="16.5" customHeight="1">
      <c r="C16" s="9" t="s">
        <v>676</v>
      </c>
      <c r="G16" s="91">
        <v>33252</v>
      </c>
      <c r="H16" s="92">
        <v>44211</v>
      </c>
      <c r="I16" s="3"/>
      <c r="J16" s="91">
        <v>44211</v>
      </c>
      <c r="K16" s="40">
        <v>4940.921</v>
      </c>
      <c r="L16" s="20"/>
      <c r="M16" s="47" t="s">
        <v>577</v>
      </c>
      <c r="N16" s="27"/>
      <c r="O16" s="40">
        <f t="shared" si="0"/>
        <v>4940.921</v>
      </c>
      <c r="P16" s="21"/>
    </row>
    <row r="17" spans="3:16" ht="16.5" customHeight="1">
      <c r="C17" s="9" t="s">
        <v>676</v>
      </c>
      <c r="G17" s="91">
        <v>32902</v>
      </c>
      <c r="H17" s="92">
        <v>47498</v>
      </c>
      <c r="I17" s="3"/>
      <c r="J17" s="91">
        <v>47498</v>
      </c>
      <c r="K17" s="40">
        <v>5002.232</v>
      </c>
      <c r="L17" s="20"/>
      <c r="M17" s="47" t="s">
        <v>577</v>
      </c>
      <c r="N17" s="27"/>
      <c r="O17" s="40">
        <f t="shared" si="0"/>
        <v>5002.232</v>
      </c>
      <c r="P17" s="21"/>
    </row>
    <row r="18" spans="3:16" ht="16.5" customHeight="1">
      <c r="C18" s="9" t="s">
        <v>676</v>
      </c>
      <c r="G18" s="91">
        <v>32979</v>
      </c>
      <c r="H18" s="92">
        <v>47588</v>
      </c>
      <c r="I18" s="3"/>
      <c r="J18" s="91">
        <v>47588</v>
      </c>
      <c r="K18" s="40">
        <v>3501.265</v>
      </c>
      <c r="L18" s="20"/>
      <c r="M18" s="47" t="s">
        <v>577</v>
      </c>
      <c r="N18" s="27"/>
      <c r="O18" s="40">
        <f t="shared" si="0"/>
        <v>3501.265</v>
      </c>
      <c r="P18" s="21"/>
    </row>
    <row r="19" spans="3:16" ht="16.5" customHeight="1">
      <c r="C19" s="9" t="s">
        <v>676</v>
      </c>
      <c r="G19" s="91">
        <v>33252</v>
      </c>
      <c r="H19" s="92">
        <v>47588</v>
      </c>
      <c r="I19" s="3"/>
      <c r="J19" s="91">
        <v>47588</v>
      </c>
      <c r="K19" s="40">
        <v>1999.814</v>
      </c>
      <c r="L19" s="20"/>
      <c r="M19" s="47" t="s">
        <v>577</v>
      </c>
      <c r="N19" s="27"/>
      <c r="O19" s="40">
        <f t="shared" si="0"/>
        <v>1999.814</v>
      </c>
      <c r="P19" s="21"/>
    </row>
    <row r="20" spans="2:16" ht="21" customHeight="1" thickBot="1">
      <c r="B20" s="233" t="s">
        <v>681</v>
      </c>
      <c r="G20" s="34" t="s">
        <v>578</v>
      </c>
      <c r="H20" s="16" t="s">
        <v>578</v>
      </c>
      <c r="I20" s="3"/>
      <c r="J20" s="34" t="s">
        <v>578</v>
      </c>
      <c r="K20" s="227">
        <f>SUM(K11:K19)</f>
        <v>30505.217999999997</v>
      </c>
      <c r="L20" s="243"/>
      <c r="M20" s="227">
        <f>SUM(M11:M19)</f>
        <v>-509.977</v>
      </c>
      <c r="N20" s="244"/>
      <c r="O20" s="227">
        <f>SUM(O11:O19)</f>
        <v>29995.179999999997</v>
      </c>
      <c r="P20" s="245"/>
    </row>
    <row r="21" spans="7:15" ht="15.75" customHeight="1" thickTop="1">
      <c r="G21" s="14"/>
      <c r="H21" s="14"/>
      <c r="I21" s="31"/>
      <c r="J21" s="14"/>
      <c r="K21" s="14"/>
      <c r="L21" s="25"/>
      <c r="M21" s="14"/>
      <c r="O21" s="14"/>
    </row>
    <row r="22" spans="2:15" ht="21" customHeight="1">
      <c r="B22" s="9" t="s">
        <v>682</v>
      </c>
      <c r="E22" s="19"/>
      <c r="F22" s="158"/>
      <c r="G22" s="14"/>
      <c r="H22" s="14"/>
      <c r="J22" s="14"/>
      <c r="K22" s="14"/>
      <c r="L22" s="25"/>
      <c r="M22" s="169"/>
      <c r="O22" s="14"/>
    </row>
    <row r="23" spans="3:16" ht="16.5" customHeight="1">
      <c r="C23" s="133" t="s">
        <v>776</v>
      </c>
      <c r="G23" s="52">
        <v>37530</v>
      </c>
      <c r="H23" s="92">
        <v>37707</v>
      </c>
      <c r="I23" s="3"/>
      <c r="J23" s="91">
        <v>37707</v>
      </c>
      <c r="K23" s="40">
        <v>200</v>
      </c>
      <c r="L23" s="21"/>
      <c r="M23" s="47" t="s">
        <v>577</v>
      </c>
      <c r="N23" s="27"/>
      <c r="O23" s="40">
        <f>K23+M23</f>
        <v>200</v>
      </c>
      <c r="P23" s="41"/>
    </row>
    <row r="24" spans="3:16" ht="16.5" customHeight="1">
      <c r="C24" s="9" t="s">
        <v>473</v>
      </c>
      <c r="G24" s="52">
        <v>37630</v>
      </c>
      <c r="H24" s="92">
        <v>37812</v>
      </c>
      <c r="I24" s="3"/>
      <c r="J24" s="91">
        <v>37812</v>
      </c>
      <c r="K24" s="40">
        <v>100</v>
      </c>
      <c r="L24" s="21"/>
      <c r="M24" s="47" t="s">
        <v>577</v>
      </c>
      <c r="N24" s="27"/>
      <c r="O24" s="40">
        <f>K24+M24</f>
        <v>100</v>
      </c>
      <c r="P24" s="41"/>
    </row>
    <row r="25" spans="3:16" ht="16.5" customHeight="1">
      <c r="C25" s="9" t="s">
        <v>472</v>
      </c>
      <c r="F25" s="158">
        <v>9</v>
      </c>
      <c r="G25" s="91">
        <v>32960</v>
      </c>
      <c r="H25" s="92">
        <v>43830</v>
      </c>
      <c r="I25" s="3"/>
      <c r="J25" s="91">
        <v>43830</v>
      </c>
      <c r="K25" s="40">
        <v>30220.229</v>
      </c>
      <c r="L25" s="21"/>
      <c r="M25" s="51">
        <v>-25094.636</v>
      </c>
      <c r="N25" s="21"/>
      <c r="O25" s="40">
        <f>K25+M25</f>
        <v>5125.593000000001</v>
      </c>
      <c r="P25" s="21"/>
    </row>
    <row r="26" spans="3:16" ht="16.5" customHeight="1">
      <c r="C26" s="9" t="s">
        <v>685</v>
      </c>
      <c r="F26" s="158">
        <v>9</v>
      </c>
      <c r="G26" s="91">
        <v>33225</v>
      </c>
      <c r="H26" s="92">
        <v>43921</v>
      </c>
      <c r="I26" s="3"/>
      <c r="J26" s="91">
        <v>43921</v>
      </c>
      <c r="K26" s="40">
        <v>7258.01</v>
      </c>
      <c r="L26" s="21"/>
      <c r="M26" s="51">
        <v>-4536.703</v>
      </c>
      <c r="N26" s="21"/>
      <c r="O26" s="40">
        <f>K26+M26</f>
        <v>2721.307</v>
      </c>
      <c r="P26" s="21"/>
    </row>
    <row r="27" spans="3:16" ht="16.5" customHeight="1">
      <c r="C27" s="9" t="s">
        <v>695</v>
      </c>
      <c r="F27" s="158">
        <v>9</v>
      </c>
      <c r="G27" s="91">
        <v>34066</v>
      </c>
      <c r="H27" s="92">
        <v>45016</v>
      </c>
      <c r="I27" s="3"/>
      <c r="J27" s="91">
        <v>45016</v>
      </c>
      <c r="K27" s="40">
        <v>6685</v>
      </c>
      <c r="L27" s="21"/>
      <c r="M27" s="51">
        <v>-3624.942</v>
      </c>
      <c r="N27" s="192"/>
      <c r="O27" s="40">
        <f>K27+M27</f>
        <v>3060.058</v>
      </c>
      <c r="P27" s="21"/>
    </row>
    <row r="28" spans="2:16" ht="20.25" customHeight="1" thickBot="1">
      <c r="B28" s="233" t="s">
        <v>696</v>
      </c>
      <c r="G28" s="34" t="s">
        <v>578</v>
      </c>
      <c r="H28" s="16" t="s">
        <v>578</v>
      </c>
      <c r="I28" s="3"/>
      <c r="J28" s="34" t="s">
        <v>578</v>
      </c>
      <c r="K28" s="227">
        <f>SUM(K23:K27)</f>
        <v>44463.239</v>
      </c>
      <c r="L28" s="228"/>
      <c r="M28" s="242">
        <f>SUM(M23:M27)</f>
        <v>-33256.281</v>
      </c>
      <c r="N28" s="228"/>
      <c r="O28" s="227">
        <f>SUM(O23:O27)</f>
        <v>11206.958</v>
      </c>
      <c r="P28" s="228"/>
    </row>
    <row r="29" spans="7:15" ht="15.75" customHeight="1" thickTop="1">
      <c r="G29" s="14"/>
      <c r="H29" s="14"/>
      <c r="J29" s="14"/>
      <c r="K29" s="14"/>
      <c r="M29" s="14"/>
      <c r="O29" s="14"/>
    </row>
    <row r="30" spans="2:15" ht="21" customHeight="1">
      <c r="B30" s="9" t="s">
        <v>697</v>
      </c>
      <c r="G30" s="14"/>
      <c r="H30" s="14"/>
      <c r="J30" s="14"/>
      <c r="K30" s="14"/>
      <c r="M30" s="14"/>
      <c r="O30" s="14"/>
    </row>
    <row r="31" spans="3:15" ht="16.5" customHeight="1">
      <c r="C31" s="9" t="s">
        <v>698</v>
      </c>
      <c r="G31" s="14"/>
      <c r="H31" s="14"/>
      <c r="J31" s="14"/>
      <c r="K31" s="40"/>
      <c r="M31" s="40" t="s">
        <v>528</v>
      </c>
      <c r="O31" s="40"/>
    </row>
    <row r="32" spans="3:15" ht="16.5" customHeight="1">
      <c r="C32" s="9" t="s">
        <v>699</v>
      </c>
      <c r="G32" s="34" t="s">
        <v>674</v>
      </c>
      <c r="H32" s="16" t="s">
        <v>578</v>
      </c>
      <c r="I32" s="3"/>
      <c r="J32" s="34" t="s">
        <v>701</v>
      </c>
      <c r="K32" s="40">
        <v>51.798</v>
      </c>
      <c r="M32" s="51">
        <v>-50.745</v>
      </c>
      <c r="N32" s="43"/>
      <c r="O32" s="53">
        <f>(K32+M32)</f>
        <v>1.0530000000000044</v>
      </c>
    </row>
    <row r="33" spans="2:16" ht="20.25" customHeight="1" thickBot="1">
      <c r="B33" s="233" t="s">
        <v>702</v>
      </c>
      <c r="G33" s="34" t="s">
        <v>578</v>
      </c>
      <c r="H33" s="16" t="s">
        <v>578</v>
      </c>
      <c r="I33" s="3"/>
      <c r="J33" s="34" t="s">
        <v>578</v>
      </c>
      <c r="K33" s="227">
        <f>K32</f>
        <v>51.798</v>
      </c>
      <c r="L33" s="241"/>
      <c r="M33" s="227">
        <f>M32</f>
        <v>-50.745</v>
      </c>
      <c r="N33" s="241"/>
      <c r="O33" s="246">
        <f>(K33+M33)</f>
        <v>1.0530000000000044</v>
      </c>
      <c r="P33" s="241"/>
    </row>
    <row r="34" spans="7:15" ht="15.75" customHeight="1" thickTop="1">
      <c r="G34" s="14"/>
      <c r="H34" s="14"/>
      <c r="J34" s="14"/>
      <c r="K34" s="40"/>
      <c r="M34" s="40"/>
      <c r="O34" s="40"/>
    </row>
    <row r="35" spans="2:15" ht="21" customHeight="1">
      <c r="B35" s="9" t="s">
        <v>703</v>
      </c>
      <c r="G35" s="14"/>
      <c r="H35" s="14"/>
      <c r="J35" s="14"/>
      <c r="K35" s="14"/>
      <c r="M35" s="14"/>
      <c r="O35" s="14"/>
    </row>
    <row r="36" spans="3:15" ht="16.5" customHeight="1">
      <c r="C36" s="9" t="s">
        <v>704</v>
      </c>
      <c r="G36" s="14"/>
      <c r="H36" s="14"/>
      <c r="J36" s="14"/>
      <c r="K36" s="40"/>
      <c r="M36" s="40"/>
      <c r="O36" s="40"/>
    </row>
    <row r="37" spans="3:15" ht="16.5" customHeight="1">
      <c r="C37" s="9" t="s">
        <v>705</v>
      </c>
      <c r="G37" s="34" t="s">
        <v>674</v>
      </c>
      <c r="H37" s="16" t="s">
        <v>578</v>
      </c>
      <c r="I37" s="3"/>
      <c r="J37" s="34" t="s">
        <v>706</v>
      </c>
      <c r="K37" s="40">
        <v>168211.287</v>
      </c>
      <c r="M37" s="51">
        <v>-151515.052</v>
      </c>
      <c r="N37" s="43"/>
      <c r="O37" s="93">
        <f>(K37+M37)</f>
        <v>16696.235000000015</v>
      </c>
    </row>
    <row r="38" spans="3:15" ht="16.5" customHeight="1">
      <c r="C38" s="9" t="s">
        <v>707</v>
      </c>
      <c r="G38" s="14"/>
      <c r="H38" s="14"/>
      <c r="J38" s="14"/>
      <c r="K38" s="40"/>
      <c r="M38" s="51" t="s">
        <v>528</v>
      </c>
      <c r="N38" s="43"/>
      <c r="O38" s="40"/>
    </row>
    <row r="39" spans="3:15" ht="16.5" customHeight="1">
      <c r="C39" s="9" t="s">
        <v>708</v>
      </c>
      <c r="G39" s="34" t="s">
        <v>674</v>
      </c>
      <c r="H39" s="16" t="s">
        <v>578</v>
      </c>
      <c r="I39" s="3"/>
      <c r="J39" s="34" t="s">
        <v>674</v>
      </c>
      <c r="K39" s="40">
        <v>318043.933</v>
      </c>
      <c r="M39" s="51">
        <v>-208122.513</v>
      </c>
      <c r="N39" s="43"/>
      <c r="O39" s="93">
        <f>(K39+M39)</f>
        <v>109921.42000000001</v>
      </c>
    </row>
    <row r="40" spans="3:15" ht="16.5" customHeight="1">
      <c r="C40" s="9" t="s">
        <v>710</v>
      </c>
      <c r="G40" s="14"/>
      <c r="H40" s="14"/>
      <c r="J40" s="14"/>
      <c r="K40" s="40"/>
      <c r="M40" s="51" t="s">
        <v>528</v>
      </c>
      <c r="N40" s="43"/>
      <c r="O40" s="40"/>
    </row>
    <row r="41" spans="3:15" ht="16.5" customHeight="1">
      <c r="C41" s="9" t="s">
        <v>708</v>
      </c>
      <c r="G41" s="34" t="s">
        <v>674</v>
      </c>
      <c r="H41" s="16" t="s">
        <v>578</v>
      </c>
      <c r="I41" s="3"/>
      <c r="J41" s="34" t="s">
        <v>674</v>
      </c>
      <c r="K41" s="40">
        <v>41403.422</v>
      </c>
      <c r="M41" s="51">
        <v>-19475.074</v>
      </c>
      <c r="N41" s="43"/>
      <c r="O41" s="93">
        <f>(K41+M41)</f>
        <v>21928.347999999998</v>
      </c>
    </row>
    <row r="42" spans="3:16" ht="16.5" customHeight="1">
      <c r="C42" s="9" t="s">
        <v>869</v>
      </c>
      <c r="F42" s="158">
        <v>9</v>
      </c>
      <c r="G42" s="34" t="s">
        <v>674</v>
      </c>
      <c r="H42" s="16" t="s">
        <v>578</v>
      </c>
      <c r="I42" s="3"/>
      <c r="J42" s="34" t="s">
        <v>870</v>
      </c>
      <c r="K42" s="40">
        <v>3592.198</v>
      </c>
      <c r="L42" s="63"/>
      <c r="M42" s="51">
        <v>-3564.794</v>
      </c>
      <c r="N42" s="411"/>
      <c r="O42" s="93">
        <f>(K42+M42)</f>
        <v>27.403999999999996</v>
      </c>
      <c r="P42" s="63"/>
    </row>
    <row r="43" spans="3:16" ht="16.5" customHeight="1">
      <c r="C43" s="9" t="s">
        <v>709</v>
      </c>
      <c r="G43" s="34" t="s">
        <v>674</v>
      </c>
      <c r="H43" s="16" t="s">
        <v>578</v>
      </c>
      <c r="I43" s="3"/>
      <c r="J43" s="34" t="s">
        <v>578</v>
      </c>
      <c r="K43" s="72">
        <v>300.257</v>
      </c>
      <c r="L43" s="73"/>
      <c r="M43" s="183">
        <v>-299.579</v>
      </c>
      <c r="N43" s="184"/>
      <c r="O43" s="94">
        <f>(K43+M43)</f>
        <v>0.6779999999999973</v>
      </c>
      <c r="P43" s="73"/>
    </row>
    <row r="44" spans="2:16" ht="21" customHeight="1">
      <c r="B44" s="233" t="s">
        <v>711</v>
      </c>
      <c r="C44" s="9"/>
      <c r="F44" s="66"/>
      <c r="G44" s="34"/>
      <c r="H44" s="16"/>
      <c r="I44" s="3"/>
      <c r="J44" s="34"/>
      <c r="K44" s="40"/>
      <c r="L44" s="63"/>
      <c r="M44" s="40"/>
      <c r="N44" s="63"/>
      <c r="O44" s="93"/>
      <c r="P44" s="63"/>
    </row>
    <row r="45" spans="2:16" ht="20.25" customHeight="1" thickBot="1">
      <c r="B45" s="233" t="s">
        <v>712</v>
      </c>
      <c r="G45" s="34" t="s">
        <v>578</v>
      </c>
      <c r="H45" s="16" t="s">
        <v>578</v>
      </c>
      <c r="I45" s="3"/>
      <c r="J45" s="34" t="s">
        <v>578</v>
      </c>
      <c r="K45" s="246">
        <f>SUM(K36:K43)</f>
        <v>531551.097</v>
      </c>
      <c r="L45" s="247"/>
      <c r="M45" s="246">
        <f>SUM(M36:M43)</f>
        <v>-382977.01200000005</v>
      </c>
      <c r="N45" s="248"/>
      <c r="O45" s="246">
        <f>SUM(O36:O43)</f>
        <v>148574.08500000005</v>
      </c>
      <c r="P45" s="247"/>
    </row>
    <row r="46" spans="7:15" ht="15.75" customHeight="1" thickTop="1">
      <c r="G46" s="14"/>
      <c r="H46" s="14"/>
      <c r="J46" s="14"/>
      <c r="K46" s="14"/>
      <c r="L46" s="21"/>
      <c r="M46" s="14"/>
      <c r="O46" s="14"/>
    </row>
    <row r="47" spans="2:15" ht="21" customHeight="1">
      <c r="B47" s="9" t="s">
        <v>713</v>
      </c>
      <c r="G47" s="14"/>
      <c r="H47" s="14"/>
      <c r="J47" s="14"/>
      <c r="K47" s="14"/>
      <c r="L47" s="21"/>
      <c r="M47" s="14"/>
      <c r="O47" s="14"/>
    </row>
    <row r="48" spans="3:15" ht="18" customHeight="1">
      <c r="C48" s="9" t="s">
        <v>714</v>
      </c>
      <c r="F48" s="158" t="s">
        <v>39</v>
      </c>
      <c r="G48" s="14"/>
      <c r="H48" s="14"/>
      <c r="J48" s="14"/>
      <c r="K48" s="14"/>
      <c r="M48" s="169"/>
      <c r="O48" s="14"/>
    </row>
    <row r="49" spans="4:15" ht="16.5" customHeight="1">
      <c r="D49" s="9" t="s">
        <v>715</v>
      </c>
      <c r="F49" s="158">
        <v>11</v>
      </c>
      <c r="G49" s="34" t="s">
        <v>674</v>
      </c>
      <c r="H49" s="16" t="s">
        <v>716</v>
      </c>
      <c r="I49" s="3"/>
      <c r="J49" s="34" t="s">
        <v>717</v>
      </c>
      <c r="K49" s="40">
        <v>119178.418</v>
      </c>
      <c r="M49" s="51">
        <v>-87707.274</v>
      </c>
      <c r="N49" s="43"/>
      <c r="O49" s="93">
        <f>+K49+M49</f>
        <v>31471.144</v>
      </c>
    </row>
    <row r="50" spans="4:15" ht="16.5" customHeight="1">
      <c r="D50" s="9" t="s">
        <v>718</v>
      </c>
      <c r="F50" s="158">
        <v>11</v>
      </c>
      <c r="G50" s="34" t="s">
        <v>674</v>
      </c>
      <c r="H50" s="16" t="s">
        <v>716</v>
      </c>
      <c r="I50" s="3"/>
      <c r="J50" s="34" t="s">
        <v>717</v>
      </c>
      <c r="K50" s="40">
        <v>237934.183</v>
      </c>
      <c r="M50" s="51">
        <v>-111131.526</v>
      </c>
      <c r="N50" s="43"/>
      <c r="O50" s="93">
        <f>+K50+M50</f>
        <v>126802.65699999999</v>
      </c>
    </row>
    <row r="51" spans="4:15" ht="16.5" customHeight="1">
      <c r="D51" s="133" t="s">
        <v>719</v>
      </c>
      <c r="F51" s="158"/>
      <c r="G51" s="14"/>
      <c r="H51" s="14"/>
      <c r="J51" s="14"/>
      <c r="K51" s="14"/>
      <c r="M51" s="169"/>
      <c r="N51" s="43"/>
      <c r="O51" s="14"/>
    </row>
    <row r="52" spans="4:15" ht="16.5" customHeight="1">
      <c r="D52" s="9" t="s">
        <v>720</v>
      </c>
      <c r="F52" s="158"/>
      <c r="G52" s="34" t="s">
        <v>674</v>
      </c>
      <c r="H52" s="16" t="s">
        <v>716</v>
      </c>
      <c r="I52" s="3"/>
      <c r="J52" s="34" t="s">
        <v>717</v>
      </c>
      <c r="K52" s="40">
        <v>553.228</v>
      </c>
      <c r="M52" s="51">
        <v>-324.51</v>
      </c>
      <c r="N52" s="43"/>
      <c r="O52" s="93">
        <f>+K52+M52</f>
        <v>228.71799999999996</v>
      </c>
    </row>
    <row r="53" spans="4:15" ht="16.5" customHeight="1">
      <c r="D53" s="9" t="s">
        <v>721</v>
      </c>
      <c r="F53" s="161"/>
      <c r="G53" s="34" t="s">
        <v>674</v>
      </c>
      <c r="H53" s="16" t="s">
        <v>716</v>
      </c>
      <c r="I53" s="3"/>
      <c r="J53" s="34" t="s">
        <v>701</v>
      </c>
      <c r="K53" s="40">
        <v>4269.89</v>
      </c>
      <c r="M53" s="51">
        <v>-3737.198</v>
      </c>
      <c r="N53" s="43"/>
      <c r="O53" s="93">
        <f>+K53+M53</f>
        <v>532.6920000000005</v>
      </c>
    </row>
    <row r="54" spans="4:15" ht="16.5" customHeight="1">
      <c r="D54" s="9" t="s">
        <v>725</v>
      </c>
      <c r="F54" s="161"/>
      <c r="G54" s="34" t="s">
        <v>674</v>
      </c>
      <c r="H54" s="16" t="s">
        <v>716</v>
      </c>
      <c r="I54" s="3"/>
      <c r="J54" s="34" t="s">
        <v>701</v>
      </c>
      <c r="K54" s="40">
        <v>19412.424</v>
      </c>
      <c r="M54" s="51">
        <v>-6338.511</v>
      </c>
      <c r="N54" s="43"/>
      <c r="O54" s="93">
        <f>(K54+M54)</f>
        <v>13073.912999999999</v>
      </c>
    </row>
    <row r="55" spans="4:15" ht="16.5" customHeight="1">
      <c r="D55" s="9" t="s">
        <v>733</v>
      </c>
      <c r="F55" s="161"/>
      <c r="G55" s="34" t="s">
        <v>674</v>
      </c>
      <c r="H55" s="16" t="s">
        <v>716</v>
      </c>
      <c r="I55" s="3"/>
      <c r="J55" s="34" t="s">
        <v>701</v>
      </c>
      <c r="K55" s="40">
        <v>23.32</v>
      </c>
      <c r="M55" s="51" t="s">
        <v>259</v>
      </c>
      <c r="N55" s="43"/>
      <c r="O55" s="93">
        <f>(K55+M55)</f>
        <v>23.32</v>
      </c>
    </row>
    <row r="56" spans="4:15" ht="16.5" customHeight="1">
      <c r="D56" s="9" t="s">
        <v>734</v>
      </c>
      <c r="F56" s="158">
        <v>11</v>
      </c>
      <c r="G56" s="34" t="s">
        <v>674</v>
      </c>
      <c r="H56" s="16" t="s">
        <v>716</v>
      </c>
      <c r="I56" s="3"/>
      <c r="J56" s="34" t="s">
        <v>717</v>
      </c>
      <c r="K56" s="40">
        <v>14476.361</v>
      </c>
      <c r="M56" s="51">
        <v>-745.585</v>
      </c>
      <c r="N56" s="43"/>
      <c r="O56" s="93">
        <f>(K56+M56)</f>
        <v>13730.776000000002</v>
      </c>
    </row>
    <row r="57" spans="3:16" ht="18" customHeight="1">
      <c r="C57" s="9" t="s">
        <v>735</v>
      </c>
      <c r="F57" s="161"/>
      <c r="G57" s="34" t="s">
        <v>578</v>
      </c>
      <c r="H57" s="16" t="s">
        <v>578</v>
      </c>
      <c r="I57" s="3"/>
      <c r="J57" s="34" t="s">
        <v>578</v>
      </c>
      <c r="K57" s="56">
        <f>SUM(K49:K56)</f>
        <v>395847.824</v>
      </c>
      <c r="L57" s="57"/>
      <c r="M57" s="56">
        <f>SUM(M49:M56)</f>
        <v>-209984.604</v>
      </c>
      <c r="N57" s="57"/>
      <c r="O57" s="56">
        <f>+K57+M57</f>
        <v>185863.22000000003</v>
      </c>
      <c r="P57" s="57"/>
    </row>
    <row r="58" spans="3:15" ht="16.5" customHeight="1">
      <c r="C58" s="9" t="s">
        <v>736</v>
      </c>
      <c r="F58" s="161"/>
      <c r="G58" s="14"/>
      <c r="H58" s="14"/>
      <c r="J58" s="14"/>
      <c r="K58" s="14"/>
      <c r="M58" s="40"/>
      <c r="O58" s="14"/>
    </row>
    <row r="59" spans="3:15" ht="16.5" customHeight="1">
      <c r="C59" s="9" t="s">
        <v>737</v>
      </c>
      <c r="F59" s="160" t="s">
        <v>40</v>
      </c>
      <c r="G59" s="34" t="s">
        <v>674</v>
      </c>
      <c r="H59" s="16" t="s">
        <v>716</v>
      </c>
      <c r="I59" s="3"/>
      <c r="J59" s="34" t="s">
        <v>717</v>
      </c>
      <c r="K59" s="40">
        <v>81.915</v>
      </c>
      <c r="M59" s="40">
        <v>-69.09</v>
      </c>
      <c r="O59" s="93">
        <f>(K59+M59)</f>
        <v>12.825000000000003</v>
      </c>
    </row>
    <row r="60" spans="3:16" ht="16.5" customHeight="1">
      <c r="C60" s="9" t="s">
        <v>738</v>
      </c>
      <c r="F60" s="161"/>
      <c r="G60" s="14"/>
      <c r="H60" s="14"/>
      <c r="J60" s="14"/>
      <c r="K60" s="14"/>
      <c r="M60" s="40"/>
      <c r="O60" s="14"/>
      <c r="P60" s="21"/>
    </row>
    <row r="61" spans="3:16" ht="16.5" customHeight="1">
      <c r="C61" s="9" t="s">
        <v>739</v>
      </c>
      <c r="F61" s="158">
        <v>13</v>
      </c>
      <c r="G61" s="34" t="s">
        <v>674</v>
      </c>
      <c r="H61" s="16" t="s">
        <v>716</v>
      </c>
      <c r="I61" s="3"/>
      <c r="J61" s="34" t="s">
        <v>717</v>
      </c>
      <c r="K61" s="40">
        <v>376.6</v>
      </c>
      <c r="L61" s="21"/>
      <c r="M61" s="40">
        <v>-329.124</v>
      </c>
      <c r="N61" s="21"/>
      <c r="O61" s="93">
        <f>(K61+M61)</f>
        <v>47.476</v>
      </c>
      <c r="P61" s="21"/>
    </row>
    <row r="62" spans="2:16" ht="20.25" customHeight="1">
      <c r="B62" s="9" t="s">
        <v>666</v>
      </c>
      <c r="G62" s="34"/>
      <c r="H62" s="16" t="s">
        <v>578</v>
      </c>
      <c r="I62" s="3"/>
      <c r="J62" s="34" t="s">
        <v>578</v>
      </c>
      <c r="K62" s="56">
        <f>K57+K59+K61</f>
        <v>396306.339</v>
      </c>
      <c r="L62" s="57"/>
      <c r="M62" s="56">
        <f>M57+M59+M61</f>
        <v>-210382.818</v>
      </c>
      <c r="N62" s="57"/>
      <c r="O62" s="56">
        <f>O57+O59+O61-1</f>
        <v>185922.52100000004</v>
      </c>
      <c r="P62" s="57"/>
    </row>
    <row r="63" spans="2:16" ht="15.75" customHeight="1">
      <c r="B63" s="9" t="s">
        <v>810</v>
      </c>
      <c r="G63" s="34"/>
      <c r="H63" s="16" t="s">
        <v>578</v>
      </c>
      <c r="I63" s="3"/>
      <c r="J63" s="34" t="s">
        <v>578</v>
      </c>
      <c r="K63" s="40">
        <f>9780.63+109.596</f>
        <v>9890.225999999999</v>
      </c>
      <c r="L63" s="21"/>
      <c r="M63" s="47" t="s">
        <v>577</v>
      </c>
      <c r="N63" s="27"/>
      <c r="O63" s="93">
        <f>(K63+M63)</f>
        <v>9890.225999999999</v>
      </c>
      <c r="P63" s="63"/>
    </row>
    <row r="64" spans="2:16" ht="15.75" customHeight="1" thickBot="1">
      <c r="B64" s="233" t="s">
        <v>493</v>
      </c>
      <c r="G64" s="34"/>
      <c r="H64" s="16" t="s">
        <v>578</v>
      </c>
      <c r="I64" s="3"/>
      <c r="J64" s="34" t="s">
        <v>578</v>
      </c>
      <c r="K64" s="227">
        <f>+K62+K63</f>
        <v>406196.565</v>
      </c>
      <c r="L64" s="241"/>
      <c r="M64" s="227">
        <f>+M62+M63</f>
        <v>-210382.818</v>
      </c>
      <c r="N64" s="241"/>
      <c r="O64" s="227">
        <f>+O62+O63</f>
        <v>195812.74700000003</v>
      </c>
      <c r="P64" s="54"/>
    </row>
    <row r="65" spans="2:16" ht="15.75" customHeight="1" thickTop="1">
      <c r="B65" s="233"/>
      <c r="G65" s="132"/>
      <c r="H65" s="98"/>
      <c r="I65" s="3"/>
      <c r="J65" s="132"/>
      <c r="K65" s="282"/>
      <c r="L65" s="369"/>
      <c r="M65" s="282"/>
      <c r="N65" s="369"/>
      <c r="O65" s="282"/>
      <c r="P65" s="63"/>
    </row>
    <row r="66" spans="2:16" ht="15.75" customHeight="1">
      <c r="B66" s="233"/>
      <c r="G66" s="132"/>
      <c r="H66" s="98"/>
      <c r="I66" s="3"/>
      <c r="J66" s="132"/>
      <c r="K66" s="282"/>
      <c r="L66" s="369"/>
      <c r="M66" s="282"/>
      <c r="N66" s="369"/>
      <c r="O66" s="282"/>
      <c r="P66" s="63"/>
    </row>
    <row r="67" spans="2:16" ht="15.75" customHeight="1">
      <c r="B67" s="233"/>
      <c r="G67" s="132"/>
      <c r="H67" s="98"/>
      <c r="I67" s="3"/>
      <c r="J67" s="132"/>
      <c r="K67" s="282"/>
      <c r="L67" s="369"/>
      <c r="M67" s="282"/>
      <c r="N67" s="369"/>
      <c r="O67" s="282"/>
      <c r="P67" s="63"/>
    </row>
    <row r="68" spans="2:16" ht="15.75" customHeight="1">
      <c r="B68" s="233"/>
      <c r="G68" s="132"/>
      <c r="H68" s="98"/>
      <c r="I68" s="3"/>
      <c r="J68" s="132"/>
      <c r="K68" s="282"/>
      <c r="L68" s="369"/>
      <c r="M68" s="282"/>
      <c r="N68" s="369"/>
      <c r="O68" s="282"/>
      <c r="P68" s="63"/>
    </row>
    <row r="69" spans="2:16" ht="15.75" customHeight="1">
      <c r="B69" s="233"/>
      <c r="G69" s="132"/>
      <c r="H69" s="98"/>
      <c r="I69" s="3"/>
      <c r="J69" s="132"/>
      <c r="K69" s="282"/>
      <c r="L69" s="369"/>
      <c r="M69" s="282"/>
      <c r="N69" s="369"/>
      <c r="O69" s="282"/>
      <c r="P69" s="63"/>
    </row>
    <row r="70" spans="2:16" ht="15.75" customHeight="1">
      <c r="B70" s="233"/>
      <c r="G70" s="132"/>
      <c r="H70" s="98"/>
      <c r="I70" s="3"/>
      <c r="J70" s="132"/>
      <c r="K70" s="282"/>
      <c r="L70" s="369"/>
      <c r="M70" s="282"/>
      <c r="N70" s="369"/>
      <c r="O70" s="282"/>
      <c r="P70" s="63"/>
    </row>
    <row r="71" spans="2:16" ht="15.75" customHeight="1">
      <c r="B71" s="233"/>
      <c r="G71" s="132"/>
      <c r="H71" s="98"/>
      <c r="I71" s="3"/>
      <c r="J71" s="132"/>
      <c r="K71" s="282"/>
      <c r="L71" s="369"/>
      <c r="M71" s="282"/>
      <c r="N71" s="369"/>
      <c r="O71" s="282"/>
      <c r="P71" s="63"/>
    </row>
    <row r="72" spans="2:16" ht="15.75" customHeight="1">
      <c r="B72" s="233"/>
      <c r="G72" s="132"/>
      <c r="H72" s="98"/>
      <c r="I72" s="3"/>
      <c r="J72" s="132"/>
      <c r="K72" s="282"/>
      <c r="L72" s="369"/>
      <c r="M72" s="282"/>
      <c r="N72" s="369"/>
      <c r="O72" s="282"/>
      <c r="P72" s="63"/>
    </row>
    <row r="73" spans="2:16" ht="15.75" customHeight="1">
      <c r="B73" s="233"/>
      <c r="G73" s="132"/>
      <c r="H73" s="98"/>
      <c r="I73" s="3"/>
      <c r="J73" s="132"/>
      <c r="K73" s="282"/>
      <c r="L73" s="369"/>
      <c r="M73" s="282"/>
      <c r="N73" s="369"/>
      <c r="O73" s="282"/>
      <c r="P73" s="63"/>
    </row>
    <row r="74" spans="2:16" ht="15.75" customHeight="1">
      <c r="B74" s="233"/>
      <c r="G74" s="132"/>
      <c r="H74" s="98"/>
      <c r="I74" s="3"/>
      <c r="J74" s="132"/>
      <c r="K74" s="282"/>
      <c r="L74" s="369"/>
      <c r="M74" s="282"/>
      <c r="N74" s="369"/>
      <c r="O74" s="282"/>
      <c r="P74" s="63"/>
    </row>
    <row r="75" spans="2:16" ht="15.75" customHeight="1">
      <c r="B75" s="233"/>
      <c r="G75" s="132"/>
      <c r="H75" s="98"/>
      <c r="I75" s="3"/>
      <c r="J75" s="132"/>
      <c r="K75" s="282"/>
      <c r="L75" s="369"/>
      <c r="M75" s="282"/>
      <c r="N75" s="369"/>
      <c r="O75" s="282"/>
      <c r="P75" s="63"/>
    </row>
    <row r="76" spans="2:16" ht="15.75" customHeight="1">
      <c r="B76" s="233"/>
      <c r="G76" s="132"/>
      <c r="H76" s="98"/>
      <c r="I76" s="3"/>
      <c r="J76" s="132"/>
      <c r="K76" s="282"/>
      <c r="L76" s="369"/>
      <c r="M76" s="282"/>
      <c r="N76" s="369"/>
      <c r="O76" s="282"/>
      <c r="P76" s="63"/>
    </row>
    <row r="77" spans="2:16" ht="15.75" customHeight="1">
      <c r="B77" s="233"/>
      <c r="G77" s="132"/>
      <c r="H77" s="98"/>
      <c r="I77" s="3"/>
      <c r="J77" s="132"/>
      <c r="K77" s="282"/>
      <c r="L77" s="369"/>
      <c r="M77" s="282"/>
      <c r="N77" s="369"/>
      <c r="O77" s="282"/>
      <c r="P77" s="63"/>
    </row>
    <row r="78" spans="2:16" ht="15.75" customHeight="1">
      <c r="B78" s="233"/>
      <c r="G78" s="132"/>
      <c r="H78" s="98"/>
      <c r="I78" s="3"/>
      <c r="J78" s="132"/>
      <c r="K78" s="282"/>
      <c r="L78" s="369"/>
      <c r="M78" s="282"/>
      <c r="N78" s="369"/>
      <c r="O78" s="282"/>
      <c r="P78" s="63"/>
    </row>
    <row r="79" s="101" customFormat="1" ht="15.75" customHeight="1" thickBot="1"/>
    <row r="80" ht="15.75" thickTop="1"/>
  </sheetData>
  <printOptions horizontalCentered="1"/>
  <pageMargins left="0" right="0" top="0.5" bottom="0.1" header="0" footer="0"/>
  <pageSetup horizontalDpi="300" verticalDpi="300" orientation="portrait" scale="4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302"/>
  <sheetViews>
    <sheetView showGridLines="0" view="pageBreakPreview" zoomScale="70" zoomScaleNormal="75" zoomScaleSheetLayoutView="70" workbookViewId="0" topLeftCell="A270">
      <selection activeCell="K106" sqref="K106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4.77734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5.3359375" style="0" customWidth="1"/>
    <col min="16" max="16" width="12.5546875" style="0" bestFit="1" customWidth="1"/>
  </cols>
  <sheetData>
    <row r="1" spans="2:13" ht="16.5" customHeight="1">
      <c r="B1" s="2" t="str">
        <f>(Marketable!B85)</f>
        <v>TABLE III - DETAIL OF TREASURY SECURITIES OUTSTANDING, JANUARY 31, 2003 --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566</v>
      </c>
      <c r="I4" s="3"/>
      <c r="J4" s="3"/>
      <c r="K4" s="3"/>
      <c r="L4" s="3"/>
      <c r="M4" s="3"/>
    </row>
    <row r="5" spans="1:13" ht="15.75" customHeight="1">
      <c r="A5" s="3" t="s">
        <v>567</v>
      </c>
      <c r="B5" s="3"/>
      <c r="C5" s="3"/>
      <c r="D5" s="3"/>
      <c r="E5" s="3"/>
      <c r="F5" s="3"/>
      <c r="G5" s="3"/>
      <c r="H5" s="16" t="s">
        <v>528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571</v>
      </c>
      <c r="I6" s="38"/>
      <c r="J6" s="37" t="s">
        <v>572</v>
      </c>
      <c r="K6" s="38"/>
      <c r="L6" s="37" t="s">
        <v>531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740</v>
      </c>
      <c r="H8" s="14"/>
      <c r="J8" s="14"/>
      <c r="L8" s="14"/>
    </row>
    <row r="9" spans="2:15" ht="21" customHeight="1">
      <c r="B9" s="166" t="s">
        <v>440</v>
      </c>
      <c r="C9" s="78"/>
      <c r="D9" s="78"/>
      <c r="H9" s="40"/>
      <c r="I9" s="21"/>
      <c r="J9" s="40"/>
      <c r="K9" s="21"/>
      <c r="L9" s="40"/>
      <c r="M9" s="21"/>
      <c r="O9" s="298"/>
    </row>
    <row r="10" spans="3:15" ht="15.75" customHeight="1">
      <c r="C10" s="9" t="s">
        <v>494</v>
      </c>
      <c r="H10" s="40">
        <v>594.161</v>
      </c>
      <c r="I10" s="21" t="s">
        <v>528</v>
      </c>
      <c r="J10" s="40">
        <v>-2.631</v>
      </c>
      <c r="K10" s="21"/>
      <c r="L10" s="40">
        <f>(H10+J10)</f>
        <v>591.53</v>
      </c>
      <c r="M10" s="21"/>
      <c r="O10" s="298"/>
    </row>
    <row r="11" spans="3:15" ht="15.75" customHeight="1">
      <c r="C11" s="9"/>
      <c r="H11" s="40"/>
      <c r="I11" s="21"/>
      <c r="J11" s="40"/>
      <c r="K11" s="21"/>
      <c r="L11" s="40"/>
      <c r="M11" s="21"/>
      <c r="O11" s="298"/>
    </row>
    <row r="12" spans="3:15" ht="15.75" customHeight="1">
      <c r="C12" s="9" t="s">
        <v>300</v>
      </c>
      <c r="H12" s="40"/>
      <c r="I12" s="21"/>
      <c r="J12" s="40"/>
      <c r="K12" s="21"/>
      <c r="L12" s="40"/>
      <c r="M12" s="21"/>
      <c r="O12" s="298"/>
    </row>
    <row r="13" spans="3:15" ht="15.75" customHeight="1">
      <c r="C13" s="9" t="s">
        <v>302</v>
      </c>
      <c r="H13" s="40">
        <v>1.889</v>
      </c>
      <c r="I13" s="21" t="s">
        <v>528</v>
      </c>
      <c r="J13" s="47" t="s">
        <v>577</v>
      </c>
      <c r="K13" s="27"/>
      <c r="L13" s="40">
        <f>(H13+J13)</f>
        <v>1.889</v>
      </c>
      <c r="M13" s="21"/>
      <c r="O13" s="298"/>
    </row>
    <row r="14" spans="3:15" ht="15.75" customHeight="1">
      <c r="C14" s="9"/>
      <c r="H14" s="40"/>
      <c r="I14" s="21"/>
      <c r="J14" s="47"/>
      <c r="K14" s="27"/>
      <c r="L14" s="40"/>
      <c r="M14" s="21"/>
      <c r="O14" s="298"/>
    </row>
    <row r="15" spans="3:15" ht="15.75" customHeight="1">
      <c r="C15" s="9" t="s">
        <v>811</v>
      </c>
      <c r="H15" s="51">
        <v>20.317</v>
      </c>
      <c r="I15" s="21"/>
      <c r="J15" s="47" t="s">
        <v>577</v>
      </c>
      <c r="K15" s="27"/>
      <c r="L15" s="40">
        <f>(H15+J15)</f>
        <v>20.317</v>
      </c>
      <c r="M15" s="21"/>
      <c r="O15" s="298"/>
    </row>
    <row r="16" spans="3:15" ht="15.75" customHeight="1">
      <c r="C16" s="9"/>
      <c r="H16" s="51"/>
      <c r="I16" s="21"/>
      <c r="J16" s="51"/>
      <c r="K16" s="27"/>
      <c r="L16" s="40"/>
      <c r="M16" s="21"/>
      <c r="O16" s="298"/>
    </row>
    <row r="17" spans="3:15" ht="15.75" customHeight="1">
      <c r="C17" s="9" t="s">
        <v>495</v>
      </c>
      <c r="H17" s="40">
        <v>158.365</v>
      </c>
      <c r="I17" s="21"/>
      <c r="J17" s="40">
        <v>-19.991</v>
      </c>
      <c r="K17" s="21"/>
      <c r="L17" s="40">
        <f>(H17+J17)</f>
        <v>138.37400000000002</v>
      </c>
      <c r="M17" s="21"/>
      <c r="O17" s="298"/>
    </row>
    <row r="18" spans="3:15" ht="15.75" customHeight="1">
      <c r="C18" s="9"/>
      <c r="H18" s="40"/>
      <c r="I18" s="21"/>
      <c r="J18" s="40" t="s">
        <v>528</v>
      </c>
      <c r="K18" s="21"/>
      <c r="L18" s="40"/>
      <c r="M18" s="21"/>
      <c r="O18" s="298"/>
    </row>
    <row r="19" spans="3:15" ht="15.75" customHeight="1">
      <c r="C19" s="9" t="s">
        <v>496</v>
      </c>
      <c r="H19" s="51" t="s">
        <v>761</v>
      </c>
      <c r="I19" s="21"/>
      <c r="J19" s="47" t="s">
        <v>577</v>
      </c>
      <c r="K19" s="27"/>
      <c r="L19" s="51" t="s">
        <v>761</v>
      </c>
      <c r="M19" s="21"/>
      <c r="O19" s="298"/>
    </row>
    <row r="20" spans="3:15" ht="15.75" customHeight="1">
      <c r="C20" s="9"/>
      <c r="H20" s="51"/>
      <c r="I20" s="21"/>
      <c r="J20" s="47"/>
      <c r="K20" s="27"/>
      <c r="L20" s="51"/>
      <c r="M20" s="21"/>
      <c r="O20" s="298"/>
    </row>
    <row r="21" spans="3:15" ht="15.75" customHeight="1">
      <c r="C21" s="9" t="s">
        <v>318</v>
      </c>
      <c r="H21" s="40">
        <v>24.784</v>
      </c>
      <c r="I21" s="21"/>
      <c r="J21" s="47" t="s">
        <v>577</v>
      </c>
      <c r="K21" s="3"/>
      <c r="L21" s="40">
        <f>(H21+J21)</f>
        <v>24.784</v>
      </c>
      <c r="M21" s="21"/>
      <c r="O21" s="298"/>
    </row>
    <row r="22" spans="3:15" ht="15.75" customHeight="1">
      <c r="C22" s="9" t="s">
        <v>686</v>
      </c>
      <c r="H22" s="51" t="s">
        <v>761</v>
      </c>
      <c r="I22" s="21"/>
      <c r="J22" s="47" t="s">
        <v>577</v>
      </c>
      <c r="K22" s="3"/>
      <c r="L22" s="51" t="s">
        <v>761</v>
      </c>
      <c r="M22" s="21"/>
      <c r="O22" s="298"/>
    </row>
    <row r="23" spans="3:15" ht="15.75" customHeight="1">
      <c r="C23" s="9"/>
      <c r="H23" s="40"/>
      <c r="I23" s="21"/>
      <c r="J23" s="47"/>
      <c r="K23" s="3"/>
      <c r="L23" s="40"/>
      <c r="M23" s="21"/>
      <c r="O23" s="298"/>
    </row>
    <row r="24" spans="3:15" ht="15.75" customHeight="1">
      <c r="C24" s="9" t="s">
        <v>497</v>
      </c>
      <c r="H24" s="40">
        <v>34.016</v>
      </c>
      <c r="I24" s="21"/>
      <c r="J24" s="47" t="s">
        <v>577</v>
      </c>
      <c r="K24" s="3"/>
      <c r="L24" s="40">
        <f>(H24+J24)</f>
        <v>34.016</v>
      </c>
      <c r="M24" s="21"/>
      <c r="O24" s="298"/>
    </row>
    <row r="25" spans="3:15" ht="15.75" customHeight="1">
      <c r="C25" s="133"/>
      <c r="H25" s="51"/>
      <c r="I25" s="21"/>
      <c r="J25" s="47"/>
      <c r="K25" s="27"/>
      <c r="L25" s="51"/>
      <c r="M25" s="21"/>
      <c r="O25" s="298"/>
    </row>
    <row r="26" spans="3:15" ht="15.75" customHeight="1">
      <c r="C26" s="9" t="s">
        <v>301</v>
      </c>
      <c r="H26" s="40">
        <v>80.586</v>
      </c>
      <c r="I26" s="21"/>
      <c r="J26" s="51">
        <v>-2.948</v>
      </c>
      <c r="K26" s="3"/>
      <c r="L26" s="40">
        <f>(H26+J26)</f>
        <v>77.638</v>
      </c>
      <c r="M26" s="21"/>
      <c r="O26" s="298"/>
    </row>
    <row r="27" spans="3:15" ht="15.75" customHeight="1">
      <c r="C27" s="133"/>
      <c r="H27" s="51"/>
      <c r="I27" s="21"/>
      <c r="J27" s="47"/>
      <c r="K27" s="27"/>
      <c r="L27" s="51"/>
      <c r="M27" s="21"/>
      <c r="O27" s="298"/>
    </row>
    <row r="28" spans="3:15" ht="15.75" customHeight="1">
      <c r="C28" s="9" t="s">
        <v>526</v>
      </c>
      <c r="H28" s="40"/>
      <c r="I28" s="21"/>
      <c r="J28" s="40"/>
      <c r="K28" s="21"/>
      <c r="L28" s="40"/>
      <c r="M28" s="21"/>
      <c r="O28" s="298"/>
    </row>
    <row r="29" spans="3:15" ht="15.75" customHeight="1">
      <c r="C29" s="9" t="s">
        <v>498</v>
      </c>
      <c r="H29" s="40">
        <v>257.085</v>
      </c>
      <c r="I29" s="21"/>
      <c r="J29" s="47" t="s">
        <v>577</v>
      </c>
      <c r="K29" s="27"/>
      <c r="L29" s="40">
        <f>(H29+J29)</f>
        <v>257.085</v>
      </c>
      <c r="M29" s="21"/>
      <c r="O29" s="298"/>
    </row>
    <row r="30" spans="3:15" ht="15.75" customHeight="1">
      <c r="C30" s="9"/>
      <c r="H30" s="40"/>
      <c r="I30" s="21"/>
      <c r="J30" s="47"/>
      <c r="K30" s="27"/>
      <c r="L30" s="40"/>
      <c r="M30" s="21"/>
      <c r="O30" s="298"/>
    </row>
    <row r="31" spans="3:15" ht="15.75" customHeight="1">
      <c r="C31" s="9" t="s">
        <v>319</v>
      </c>
      <c r="H31" s="40">
        <v>541.07</v>
      </c>
      <c r="I31" s="21"/>
      <c r="J31" s="47" t="s">
        <v>577</v>
      </c>
      <c r="K31" s="27"/>
      <c r="L31" s="40">
        <f>(H31+J31)</f>
        <v>541.07</v>
      </c>
      <c r="M31" s="21"/>
      <c r="O31" s="298"/>
    </row>
    <row r="32" spans="3:15" ht="15.75" customHeight="1">
      <c r="C32" s="9" t="s">
        <v>499</v>
      </c>
      <c r="H32" s="40">
        <v>1</v>
      </c>
      <c r="I32" s="21"/>
      <c r="J32" s="47" t="s">
        <v>577</v>
      </c>
      <c r="K32" s="27"/>
      <c r="L32" s="40">
        <f>(H32+J32)</f>
        <v>1</v>
      </c>
      <c r="M32" s="21"/>
      <c r="O32" s="298"/>
    </row>
    <row r="33" spans="3:15" ht="15.75" customHeight="1">
      <c r="C33" s="9" t="s">
        <v>500</v>
      </c>
      <c r="H33" s="40">
        <v>959.302</v>
      </c>
      <c r="I33" s="21"/>
      <c r="J33" s="47" t="s">
        <v>577</v>
      </c>
      <c r="K33" s="27"/>
      <c r="L33" s="40">
        <f>(H33+J33)</f>
        <v>959.302</v>
      </c>
      <c r="M33" s="21"/>
      <c r="O33" s="298"/>
    </row>
    <row r="34" spans="3:15" ht="15.75" customHeight="1">
      <c r="C34" s="9"/>
      <c r="H34" s="40"/>
      <c r="I34" s="21"/>
      <c r="J34" s="47"/>
      <c r="K34" s="27"/>
      <c r="L34" s="40"/>
      <c r="M34" s="21"/>
      <c r="O34" s="298"/>
    </row>
    <row r="35" spans="3:15" ht="15.75" customHeight="1">
      <c r="C35" s="9" t="s">
        <v>501</v>
      </c>
      <c r="H35" s="40">
        <v>47930.354</v>
      </c>
      <c r="I35" s="21"/>
      <c r="J35" s="47" t="s">
        <v>577</v>
      </c>
      <c r="K35" s="27"/>
      <c r="L35" s="40">
        <f>(H35+J35)</f>
        <v>47930.354</v>
      </c>
      <c r="M35" s="21"/>
      <c r="O35" s="298"/>
    </row>
    <row r="36" spans="3:15" ht="15.75" customHeight="1">
      <c r="C36" s="9" t="s">
        <v>502</v>
      </c>
      <c r="H36" s="40">
        <v>21.389</v>
      </c>
      <c r="I36" s="21"/>
      <c r="J36" s="47" t="s">
        <v>577</v>
      </c>
      <c r="K36" s="27"/>
      <c r="L36" s="40">
        <f>(H36+J36)</f>
        <v>21.389</v>
      </c>
      <c r="M36" s="21"/>
      <c r="O36" s="298"/>
    </row>
    <row r="37" spans="3:15" ht="15.75" customHeight="1">
      <c r="C37" s="9"/>
      <c r="H37" s="40"/>
      <c r="I37" s="21"/>
      <c r="J37" s="47"/>
      <c r="K37" s="27"/>
      <c r="L37" s="40"/>
      <c r="M37" s="21"/>
      <c r="O37" s="298"/>
    </row>
    <row r="38" spans="3:15" ht="15.75" customHeight="1">
      <c r="C38" s="9" t="s">
        <v>506</v>
      </c>
      <c r="H38" s="51">
        <v>3.61</v>
      </c>
      <c r="I38" s="21"/>
      <c r="J38" s="47" t="s">
        <v>577</v>
      </c>
      <c r="K38" s="27"/>
      <c r="L38" s="40">
        <f>(H38+J38)</f>
        <v>3.61</v>
      </c>
      <c r="M38" s="21"/>
      <c r="O38" s="298"/>
    </row>
    <row r="39" spans="3:15" ht="15.75" customHeight="1">
      <c r="C39" s="9"/>
      <c r="H39" s="51"/>
      <c r="I39" s="21"/>
      <c r="J39" s="47"/>
      <c r="K39" s="27"/>
      <c r="L39" s="40"/>
      <c r="M39" s="21"/>
      <c r="O39" s="298"/>
    </row>
    <row r="40" spans="3:15" ht="15.75" customHeight="1">
      <c r="C40" s="9" t="s">
        <v>507</v>
      </c>
      <c r="H40" s="40">
        <v>1.592</v>
      </c>
      <c r="I40" s="21"/>
      <c r="J40" s="47" t="s">
        <v>577</v>
      </c>
      <c r="K40" s="27"/>
      <c r="L40" s="40">
        <f>(H40+J40)</f>
        <v>1.592</v>
      </c>
      <c r="M40" s="21"/>
      <c r="O40" s="298"/>
    </row>
    <row r="41" spans="2:15" s="78" customFormat="1" ht="15.75" customHeight="1">
      <c r="B41" s="78" t="s">
        <v>820</v>
      </c>
      <c r="C41" s="415"/>
      <c r="H41" s="390">
        <f>SUM(H8:H40)</f>
        <v>50629.52</v>
      </c>
      <c r="I41" s="391"/>
      <c r="J41" s="390">
        <f>SUM(J8:J40)</f>
        <v>-25.57</v>
      </c>
      <c r="K41" s="392"/>
      <c r="L41" s="390">
        <f>SUM(L8:L40)</f>
        <v>50603.95</v>
      </c>
      <c r="M41" s="391"/>
      <c r="O41" s="416"/>
    </row>
    <row r="42" spans="3:15" ht="15.75" customHeight="1">
      <c r="C42" s="133"/>
      <c r="H42" s="51"/>
      <c r="I42" s="21"/>
      <c r="J42" s="47"/>
      <c r="K42" s="27"/>
      <c r="L42" s="51"/>
      <c r="M42" s="21"/>
      <c r="O42" s="298"/>
    </row>
    <row r="43" spans="2:15" ht="15.75" customHeight="1">
      <c r="B43" t="s">
        <v>441</v>
      </c>
      <c r="C43" s="133"/>
      <c r="H43" s="51"/>
      <c r="I43" s="21"/>
      <c r="J43" s="47"/>
      <c r="K43" s="27"/>
      <c r="L43" s="51"/>
      <c r="M43" s="21"/>
      <c r="O43" s="298"/>
    </row>
    <row r="44" spans="3:15" ht="15.75" customHeight="1">
      <c r="C44" s="9" t="s">
        <v>746</v>
      </c>
      <c r="H44" s="40"/>
      <c r="I44" s="21"/>
      <c r="J44" s="40"/>
      <c r="K44" s="21"/>
      <c r="L44" s="40"/>
      <c r="M44" s="21"/>
      <c r="O44" s="298"/>
    </row>
    <row r="45" spans="3:15" ht="15.75" customHeight="1">
      <c r="C45" s="9" t="s">
        <v>508</v>
      </c>
      <c r="H45" s="40">
        <v>1912.146</v>
      </c>
      <c r="I45" s="21"/>
      <c r="J45" s="47" t="s">
        <v>577</v>
      </c>
      <c r="K45" s="27"/>
      <c r="L45" s="40">
        <f aca="true" t="shared" si="0" ref="L45:L51">(H45+J45)</f>
        <v>1912.146</v>
      </c>
      <c r="M45" s="41"/>
      <c r="O45" s="298"/>
    </row>
    <row r="46" spans="3:15" ht="15.75" customHeight="1">
      <c r="C46" s="9" t="s">
        <v>747</v>
      </c>
      <c r="H46" s="40">
        <v>17309.321</v>
      </c>
      <c r="I46" s="21" t="s">
        <v>528</v>
      </c>
      <c r="J46" s="40">
        <v>-3985.122</v>
      </c>
      <c r="K46" s="21"/>
      <c r="L46" s="40">
        <f t="shared" si="0"/>
        <v>13324.199</v>
      </c>
      <c r="M46" s="21"/>
      <c r="O46" s="298"/>
    </row>
    <row r="47" spans="3:15" ht="15.75" customHeight="1">
      <c r="C47" s="9" t="s">
        <v>748</v>
      </c>
      <c r="H47" s="40">
        <v>1.067</v>
      </c>
      <c r="I47" s="21"/>
      <c r="J47" s="47" t="s">
        <v>577</v>
      </c>
      <c r="K47" s="27"/>
      <c r="L47" s="40">
        <f t="shared" si="0"/>
        <v>1.067</v>
      </c>
      <c r="M47" s="21"/>
      <c r="O47" s="298"/>
    </row>
    <row r="48" spans="3:15" ht="15.75" customHeight="1">
      <c r="C48" s="9" t="s">
        <v>751</v>
      </c>
      <c r="H48" s="40">
        <v>1362.393</v>
      </c>
      <c r="I48" s="21"/>
      <c r="J48" s="47" t="s">
        <v>577</v>
      </c>
      <c r="K48" s="27"/>
      <c r="L48" s="40">
        <f t="shared" si="0"/>
        <v>1362.393</v>
      </c>
      <c r="M48" s="21"/>
      <c r="O48" s="298"/>
    </row>
    <row r="49" spans="3:15" ht="15.75" customHeight="1">
      <c r="C49" s="9" t="s">
        <v>873</v>
      </c>
      <c r="H49" s="40">
        <v>85.53</v>
      </c>
      <c r="I49" s="21"/>
      <c r="J49" s="47" t="s">
        <v>577</v>
      </c>
      <c r="K49" s="27"/>
      <c r="L49" s="40">
        <f t="shared" si="0"/>
        <v>85.53</v>
      </c>
      <c r="M49" s="21"/>
      <c r="O49" s="298"/>
    </row>
    <row r="50" spans="3:15" ht="15.75" customHeight="1">
      <c r="C50" s="9" t="s">
        <v>289</v>
      </c>
      <c r="H50" s="40">
        <v>292.155</v>
      </c>
      <c r="I50" s="21"/>
      <c r="J50" s="47" t="s">
        <v>577</v>
      </c>
      <c r="K50" s="27"/>
      <c r="L50" s="40">
        <f t="shared" si="0"/>
        <v>292.155</v>
      </c>
      <c r="M50" s="21"/>
      <c r="O50" s="298"/>
    </row>
    <row r="51" spans="3:15" ht="15.75" customHeight="1">
      <c r="C51" s="9" t="s">
        <v>288</v>
      </c>
      <c r="H51" s="40">
        <v>500.54</v>
      </c>
      <c r="I51" s="21"/>
      <c r="J51" s="47" t="s">
        <v>577</v>
      </c>
      <c r="K51" s="27"/>
      <c r="L51" s="40">
        <f t="shared" si="0"/>
        <v>500.54</v>
      </c>
      <c r="M51" s="21"/>
      <c r="O51" s="298"/>
    </row>
    <row r="52" spans="3:15" ht="15.75" customHeight="1">
      <c r="C52" s="9" t="s">
        <v>69</v>
      </c>
      <c r="H52" s="40">
        <v>103.263</v>
      </c>
      <c r="I52" s="21"/>
      <c r="J52" s="47" t="s">
        <v>577</v>
      </c>
      <c r="K52" s="27"/>
      <c r="L52" s="40">
        <f>(H52+J52)</f>
        <v>103.263</v>
      </c>
      <c r="M52" s="21"/>
      <c r="O52" s="298"/>
    </row>
    <row r="53" spans="8:15" ht="15.75" customHeight="1">
      <c r="H53" s="40"/>
      <c r="I53" s="21"/>
      <c r="J53" s="40"/>
      <c r="K53" s="21"/>
      <c r="L53" s="40"/>
      <c r="M53" s="21"/>
      <c r="O53" s="298"/>
    </row>
    <row r="54" spans="3:15" ht="15.75" customHeight="1">
      <c r="C54" s="9" t="s">
        <v>407</v>
      </c>
      <c r="H54" s="40">
        <v>32642.311</v>
      </c>
      <c r="I54" s="21"/>
      <c r="J54" s="51">
        <v>-1598</v>
      </c>
      <c r="K54" s="27"/>
      <c r="L54" s="40">
        <f>(H54+J54)</f>
        <v>31044.311</v>
      </c>
      <c r="M54" s="21"/>
      <c r="O54" s="298"/>
    </row>
    <row r="55" spans="2:15" ht="15.75" customHeight="1">
      <c r="B55" s="166"/>
      <c r="C55" s="9" t="s">
        <v>404</v>
      </c>
      <c r="D55" s="78"/>
      <c r="H55" s="40">
        <v>0.727</v>
      </c>
      <c r="I55" s="21"/>
      <c r="J55" s="47" t="s">
        <v>577</v>
      </c>
      <c r="K55" s="27"/>
      <c r="L55" s="40">
        <f>(H55+J55)</f>
        <v>0.727</v>
      </c>
      <c r="M55" s="21"/>
      <c r="O55" s="298"/>
    </row>
    <row r="56" spans="3:15" ht="15.75" customHeight="1">
      <c r="C56" s="9" t="s">
        <v>355</v>
      </c>
      <c r="H56" s="40">
        <v>1.667</v>
      </c>
      <c r="I56" s="21"/>
      <c r="J56" s="47" t="s">
        <v>577</v>
      </c>
      <c r="K56" s="27"/>
      <c r="L56" s="40">
        <f>(H56+J56)</f>
        <v>1.667</v>
      </c>
      <c r="M56" s="21"/>
      <c r="O56" s="298"/>
    </row>
    <row r="57" spans="3:15" ht="15.75" customHeight="1">
      <c r="C57" s="9" t="s">
        <v>347</v>
      </c>
      <c r="H57" s="51"/>
      <c r="I57" s="21"/>
      <c r="J57" s="47"/>
      <c r="K57" s="27"/>
      <c r="L57" s="40"/>
      <c r="M57" s="122"/>
      <c r="O57" s="298"/>
    </row>
    <row r="58" spans="3:15" ht="15.75" customHeight="1">
      <c r="C58" s="9" t="s">
        <v>509</v>
      </c>
      <c r="H58" s="51" t="s">
        <v>761</v>
      </c>
      <c r="I58" s="21"/>
      <c r="J58" s="47" t="s">
        <v>577</v>
      </c>
      <c r="K58" s="27"/>
      <c r="L58" s="51" t="s">
        <v>761</v>
      </c>
      <c r="M58" s="122"/>
      <c r="O58" s="298"/>
    </row>
    <row r="59" spans="8:15" ht="15.75" customHeight="1">
      <c r="H59" s="40"/>
      <c r="I59" s="110"/>
      <c r="J59" s="47"/>
      <c r="K59" s="27"/>
      <c r="L59" s="40"/>
      <c r="M59" s="21"/>
      <c r="O59" s="298"/>
    </row>
    <row r="60" spans="3:15" ht="15.75" customHeight="1">
      <c r="C60" s="9" t="s">
        <v>762</v>
      </c>
      <c r="H60" s="40">
        <v>67.164</v>
      </c>
      <c r="I60" s="21"/>
      <c r="J60" s="47" t="s">
        <v>577</v>
      </c>
      <c r="K60" s="27"/>
      <c r="L60" s="40">
        <f>(H60+J60)</f>
        <v>67.164</v>
      </c>
      <c r="M60" s="21"/>
      <c r="O60" s="298"/>
    </row>
    <row r="61" spans="3:15" ht="15.75" customHeight="1">
      <c r="C61" s="9" t="s">
        <v>348</v>
      </c>
      <c r="H61" s="40" t="s">
        <v>528</v>
      </c>
      <c r="I61" s="21"/>
      <c r="J61" s="47"/>
      <c r="K61" s="27"/>
      <c r="L61" s="40"/>
      <c r="M61" s="21"/>
      <c r="O61" s="298"/>
    </row>
    <row r="62" spans="3:15" ht="15.75" customHeight="1">
      <c r="C62" s="9" t="s">
        <v>821</v>
      </c>
      <c r="H62" s="51">
        <v>19.841</v>
      </c>
      <c r="I62" s="21"/>
      <c r="J62" s="47" t="s">
        <v>577</v>
      </c>
      <c r="K62" s="27"/>
      <c r="L62" s="40">
        <f>(H62+J62)</f>
        <v>19.841</v>
      </c>
      <c r="M62" s="122"/>
      <c r="O62" s="298"/>
    </row>
    <row r="63" spans="3:15" ht="15.75" customHeight="1">
      <c r="C63" s="9" t="s">
        <v>763</v>
      </c>
      <c r="H63" s="40"/>
      <c r="I63" s="21"/>
      <c r="J63" s="40"/>
      <c r="K63" s="21"/>
      <c r="L63" s="40"/>
      <c r="M63" s="21"/>
      <c r="O63" s="298"/>
    </row>
    <row r="64" spans="3:15" ht="15.75" customHeight="1">
      <c r="C64" s="9" t="s">
        <v>826</v>
      </c>
      <c r="H64" s="40">
        <v>4.366</v>
      </c>
      <c r="I64" s="21"/>
      <c r="J64" s="51" t="s">
        <v>779</v>
      </c>
      <c r="K64" s="27"/>
      <c r="L64" s="40">
        <f>(H64+J64)</f>
        <v>4.366</v>
      </c>
      <c r="M64" s="21"/>
      <c r="O64" s="298"/>
    </row>
    <row r="65" spans="3:15" ht="15.75" customHeight="1">
      <c r="C65" s="9" t="s">
        <v>827</v>
      </c>
      <c r="H65" s="40">
        <v>670611.158</v>
      </c>
      <c r="I65" s="21"/>
      <c r="J65" s="40">
        <v>-89278.087</v>
      </c>
      <c r="K65" s="21"/>
      <c r="L65" s="40">
        <f>(H65+J65)</f>
        <v>581333.071</v>
      </c>
      <c r="M65" s="21"/>
      <c r="O65" s="298"/>
    </row>
    <row r="66" spans="3:15" ht="15.75" customHeight="1">
      <c r="C66" s="9" t="s">
        <v>764</v>
      </c>
      <c r="H66" s="40">
        <v>9.292</v>
      </c>
      <c r="I66" s="21"/>
      <c r="J66" s="47" t="s">
        <v>577</v>
      </c>
      <c r="K66" s="27"/>
      <c r="L66" s="40">
        <f>(H66+J66)</f>
        <v>9.292</v>
      </c>
      <c r="M66" s="21"/>
      <c r="O66" s="298"/>
    </row>
    <row r="67" spans="3:15" ht="15.75" customHeight="1">
      <c r="C67" s="9" t="s">
        <v>765</v>
      </c>
      <c r="H67" s="40">
        <v>1.295</v>
      </c>
      <c r="I67" s="21"/>
      <c r="J67" s="47" t="s">
        <v>577</v>
      </c>
      <c r="K67" s="27"/>
      <c r="L67" s="40">
        <f>(H67+J67)</f>
        <v>1.295</v>
      </c>
      <c r="M67" s="21"/>
      <c r="O67" s="298"/>
    </row>
    <row r="68" spans="3:15" ht="15.75" customHeight="1">
      <c r="C68" s="9" t="s">
        <v>799</v>
      </c>
      <c r="H68" s="40"/>
      <c r="I68" s="21"/>
      <c r="J68" s="47"/>
      <c r="K68" s="27"/>
      <c r="L68" s="40"/>
      <c r="M68" s="21"/>
      <c r="O68" s="298"/>
    </row>
    <row r="69" spans="3:15" ht="15.75" customHeight="1">
      <c r="C69" s="9" t="s">
        <v>73</v>
      </c>
      <c r="H69" s="40">
        <v>5.345</v>
      </c>
      <c r="I69" s="21"/>
      <c r="J69" s="47" t="s">
        <v>577</v>
      </c>
      <c r="K69" s="27"/>
      <c r="L69" s="40">
        <f>(H69+J69)</f>
        <v>5.345</v>
      </c>
      <c r="M69" s="21"/>
      <c r="O69" s="298"/>
    </row>
    <row r="70" spans="3:15" ht="15.75" customHeight="1">
      <c r="C70" s="9" t="s">
        <v>828</v>
      </c>
      <c r="H70" s="51">
        <v>4</v>
      </c>
      <c r="I70" s="21"/>
      <c r="J70" s="47" t="s">
        <v>577</v>
      </c>
      <c r="K70" s="27"/>
      <c r="L70" s="40">
        <f>(H70+J70)</f>
        <v>4</v>
      </c>
      <c r="M70" s="122"/>
      <c r="O70" s="298"/>
    </row>
    <row r="71" spans="3:15" ht="15.75" customHeight="1">
      <c r="C71" s="9" t="s">
        <v>771</v>
      </c>
      <c r="H71" s="40">
        <v>72.198</v>
      </c>
      <c r="I71" s="21"/>
      <c r="J71" s="47" t="s">
        <v>577</v>
      </c>
      <c r="K71" s="27"/>
      <c r="L71" s="40">
        <f>(H71+J71)</f>
        <v>72.198</v>
      </c>
      <c r="M71" s="21"/>
      <c r="O71" s="298"/>
    </row>
    <row r="72" spans="3:15" ht="15.75" customHeight="1">
      <c r="C72" s="9" t="s">
        <v>774</v>
      </c>
      <c r="H72" s="40">
        <v>7.434</v>
      </c>
      <c r="I72" s="21"/>
      <c r="J72" s="47" t="s">
        <v>577</v>
      </c>
      <c r="K72" s="27"/>
      <c r="L72" s="40">
        <f>(H72+J72)</f>
        <v>7.434</v>
      </c>
      <c r="M72" s="21"/>
      <c r="O72" s="298"/>
    </row>
    <row r="73" spans="3:15" ht="15.75" customHeight="1">
      <c r="C73" s="9"/>
      <c r="H73" s="40"/>
      <c r="I73" s="21"/>
      <c r="J73" s="47"/>
      <c r="K73" s="27"/>
      <c r="L73" s="40"/>
      <c r="M73" s="21"/>
      <c r="O73" s="298"/>
    </row>
    <row r="74" spans="3:15" ht="15.75" customHeight="1">
      <c r="C74" s="9" t="s">
        <v>829</v>
      </c>
      <c r="H74" s="40">
        <v>13.139</v>
      </c>
      <c r="I74" s="422"/>
      <c r="J74" s="110" t="s">
        <v>577</v>
      </c>
      <c r="K74" s="27"/>
      <c r="L74" s="40">
        <f aca="true" t="shared" si="1" ref="L74:L82">(H74+J74)</f>
        <v>13.139</v>
      </c>
      <c r="M74" s="21"/>
      <c r="O74" s="298"/>
    </row>
    <row r="75" spans="3:15" ht="15.75" customHeight="1">
      <c r="C75" s="9" t="s">
        <v>775</v>
      </c>
      <c r="H75" s="40">
        <v>980.81</v>
      </c>
      <c r="I75" s="422"/>
      <c r="J75" s="110" t="s">
        <v>577</v>
      </c>
      <c r="K75" s="27"/>
      <c r="L75" s="40">
        <f t="shared" si="1"/>
        <v>980.81</v>
      </c>
      <c r="M75" s="21"/>
      <c r="O75" s="298"/>
    </row>
    <row r="76" spans="3:15" ht="15.75" customHeight="1">
      <c r="C76" s="9" t="s">
        <v>694</v>
      </c>
      <c r="H76" s="40">
        <v>15457.547</v>
      </c>
      <c r="I76" s="422"/>
      <c r="J76" s="110" t="s">
        <v>577</v>
      </c>
      <c r="K76" s="27"/>
      <c r="L76" s="40">
        <f>(H76+J76)</f>
        <v>15457.547</v>
      </c>
      <c r="M76" s="21"/>
      <c r="O76" s="298"/>
    </row>
    <row r="77" spans="3:15" ht="15.75" customHeight="1">
      <c r="C77" s="9" t="s">
        <v>777</v>
      </c>
      <c r="H77" s="40">
        <v>184762.566</v>
      </c>
      <c r="I77" s="422"/>
      <c r="J77" s="109">
        <v>-6961.745</v>
      </c>
      <c r="K77" s="21"/>
      <c r="L77" s="40">
        <f t="shared" si="1"/>
        <v>177800.821</v>
      </c>
      <c r="M77" s="21"/>
      <c r="O77" s="298"/>
    </row>
    <row r="78" spans="3:15" ht="15.75" customHeight="1">
      <c r="C78" s="9" t="s">
        <v>778</v>
      </c>
      <c r="H78" s="40">
        <v>0.828</v>
      </c>
      <c r="I78" s="21"/>
      <c r="J78" s="51" t="s">
        <v>779</v>
      </c>
      <c r="K78" s="3"/>
      <c r="L78" s="40">
        <f>(H78+J78)</f>
        <v>0.828</v>
      </c>
      <c r="M78" s="21"/>
      <c r="O78" s="298"/>
    </row>
    <row r="79" spans="3:15" ht="15.75" customHeight="1">
      <c r="C79" s="9" t="s">
        <v>780</v>
      </c>
      <c r="H79" s="51">
        <v>3.017</v>
      </c>
      <c r="I79" s="21"/>
      <c r="J79" s="47" t="s">
        <v>577</v>
      </c>
      <c r="K79" s="27"/>
      <c r="L79" s="40">
        <f t="shared" si="1"/>
        <v>3.017</v>
      </c>
      <c r="M79" s="21"/>
      <c r="O79" s="298"/>
    </row>
    <row r="80" spans="3:15" ht="15.75" customHeight="1">
      <c r="C80" s="9" t="s">
        <v>781</v>
      </c>
      <c r="H80" s="51">
        <v>2.257</v>
      </c>
      <c r="I80" s="21"/>
      <c r="J80" s="47" t="s">
        <v>577</v>
      </c>
      <c r="K80" s="27"/>
      <c r="L80" s="40">
        <f t="shared" si="1"/>
        <v>2.257</v>
      </c>
      <c r="M80" s="109"/>
      <c r="O80" s="298"/>
    </row>
    <row r="81" spans="3:15" ht="15.75" customHeight="1">
      <c r="C81" s="9" t="s">
        <v>783</v>
      </c>
      <c r="H81" s="40">
        <v>87.818</v>
      </c>
      <c r="I81" s="21"/>
      <c r="J81" s="47" t="s">
        <v>577</v>
      </c>
      <c r="K81" s="27"/>
      <c r="L81" s="40">
        <f t="shared" si="1"/>
        <v>87.818</v>
      </c>
      <c r="M81" s="21"/>
      <c r="O81" s="298"/>
    </row>
    <row r="82" spans="3:15" ht="15.75" customHeight="1">
      <c r="C82" s="9" t="s">
        <v>409</v>
      </c>
      <c r="H82" s="40">
        <v>2312.965</v>
      </c>
      <c r="I82" s="21"/>
      <c r="J82" s="47" t="s">
        <v>577</v>
      </c>
      <c r="K82" s="27"/>
      <c r="L82" s="40">
        <f t="shared" si="1"/>
        <v>2312.965</v>
      </c>
      <c r="M82" s="21"/>
      <c r="O82" s="298"/>
    </row>
    <row r="83" spans="3:15" ht="15.75" customHeight="1">
      <c r="C83" s="9"/>
      <c r="H83" s="40"/>
      <c r="I83" s="21"/>
      <c r="J83" s="47"/>
      <c r="K83" s="27"/>
      <c r="L83" s="40"/>
      <c r="M83" s="21"/>
      <c r="O83" s="298"/>
    </row>
    <row r="84" spans="3:15" ht="15.75" customHeight="1">
      <c r="C84" s="9" t="s">
        <v>784</v>
      </c>
      <c r="H84" s="40">
        <v>10.43</v>
      </c>
      <c r="I84" s="21"/>
      <c r="J84" s="40">
        <v>-2.93</v>
      </c>
      <c r="K84" s="21"/>
      <c r="L84" s="40">
        <f>(H84+J84)</f>
        <v>7.5</v>
      </c>
      <c r="M84" s="21"/>
      <c r="O84" s="298"/>
    </row>
    <row r="85" spans="3:15" ht="15.75" customHeight="1">
      <c r="C85" s="9" t="s">
        <v>830</v>
      </c>
      <c r="H85" s="40">
        <v>9665.68</v>
      </c>
      <c r="I85" s="21"/>
      <c r="J85" s="40">
        <v>-1831.962</v>
      </c>
      <c r="K85" s="21"/>
      <c r="L85" s="40">
        <f>(H85+J85)</f>
        <v>7833.718000000001</v>
      </c>
      <c r="M85" s="21"/>
      <c r="O85" s="298"/>
    </row>
    <row r="86" spans="3:15" ht="15.75" customHeight="1">
      <c r="C86" s="9" t="s">
        <v>802</v>
      </c>
      <c r="H86" s="40">
        <v>25836.078</v>
      </c>
      <c r="I86" s="21"/>
      <c r="J86" s="47" t="s">
        <v>577</v>
      </c>
      <c r="K86" s="27"/>
      <c r="L86" s="40">
        <f>(H86+J86)</f>
        <v>25836.078</v>
      </c>
      <c r="M86" s="21"/>
      <c r="O86" s="298"/>
    </row>
    <row r="87" spans="3:15" ht="15.75" customHeight="1">
      <c r="C87" s="9" t="s">
        <v>511</v>
      </c>
      <c r="H87" s="40">
        <v>0.548</v>
      </c>
      <c r="I87" s="21"/>
      <c r="J87" s="47" t="s">
        <v>577</v>
      </c>
      <c r="K87" s="27"/>
      <c r="L87" s="40">
        <f>(H87+J87)</f>
        <v>0.548</v>
      </c>
      <c r="M87" s="21"/>
      <c r="O87" s="298"/>
    </row>
    <row r="88" spans="3:15" ht="15.75" customHeight="1">
      <c r="C88" s="9" t="s">
        <v>831</v>
      </c>
      <c r="H88" s="51">
        <v>973.557</v>
      </c>
      <c r="I88" s="21"/>
      <c r="J88" s="47" t="s">
        <v>577</v>
      </c>
      <c r="K88" s="27"/>
      <c r="L88" s="40">
        <f>(H88+J88)</f>
        <v>973.557</v>
      </c>
      <c r="M88" s="21"/>
      <c r="O88" s="298"/>
    </row>
    <row r="89" spans="3:15" ht="15.75" customHeight="1">
      <c r="C89" s="9" t="s">
        <v>803</v>
      </c>
      <c r="H89" s="51" t="s">
        <v>761</v>
      </c>
      <c r="I89" s="21"/>
      <c r="J89" s="47" t="s">
        <v>577</v>
      </c>
      <c r="K89" s="27"/>
      <c r="L89" s="51" t="s">
        <v>761</v>
      </c>
      <c r="M89" s="21"/>
      <c r="O89" s="298"/>
    </row>
    <row r="90" spans="3:15" ht="15.75" customHeight="1">
      <c r="C90" s="9" t="s">
        <v>804</v>
      </c>
      <c r="H90" s="51">
        <v>10676.55</v>
      </c>
      <c r="I90" s="21"/>
      <c r="J90" s="47" t="s">
        <v>577</v>
      </c>
      <c r="K90" s="27"/>
      <c r="L90" s="40">
        <f>(H90+J90)</f>
        <v>10676.55</v>
      </c>
      <c r="M90" s="21"/>
      <c r="O90" s="298"/>
    </row>
    <row r="91" spans="3:15" ht="15.75" customHeight="1">
      <c r="C91" s="9" t="s">
        <v>512</v>
      </c>
      <c r="H91" s="40">
        <v>135.374</v>
      </c>
      <c r="I91" s="21"/>
      <c r="J91" s="51">
        <v>-12.669</v>
      </c>
      <c r="K91" s="27"/>
      <c r="L91" s="40">
        <f>(H91+J91)</f>
        <v>122.705</v>
      </c>
      <c r="M91" s="21"/>
      <c r="O91" s="298"/>
    </row>
    <row r="92" spans="3:15" ht="15.75" customHeight="1">
      <c r="C92" t="s">
        <v>450</v>
      </c>
      <c r="H92" s="40"/>
      <c r="I92" s="21"/>
      <c r="J92" s="51"/>
      <c r="K92" s="27"/>
      <c r="L92" s="40"/>
      <c r="M92" s="21"/>
      <c r="O92" s="298"/>
    </row>
    <row r="93" spans="3:15" ht="16.5" customHeight="1">
      <c r="C93" s="9" t="s">
        <v>451</v>
      </c>
      <c r="H93" s="40">
        <v>26.837</v>
      </c>
      <c r="J93" s="47" t="s">
        <v>577</v>
      </c>
      <c r="K93" s="27"/>
      <c r="L93" s="40">
        <f>(H93+J93)</f>
        <v>26.837</v>
      </c>
      <c r="M93" s="21"/>
      <c r="O93" s="298"/>
    </row>
    <row r="94" spans="2:15" ht="18" customHeight="1">
      <c r="B94" s="7"/>
      <c r="E94" s="43"/>
      <c r="H94" s="63"/>
      <c r="J94" s="63"/>
      <c r="L94" s="63"/>
      <c r="O94" s="298"/>
    </row>
    <row r="95" spans="2:15" ht="18" customHeight="1">
      <c r="B95" s="7"/>
      <c r="E95" s="43"/>
      <c r="H95" s="63"/>
      <c r="J95" s="63"/>
      <c r="L95" s="63"/>
      <c r="O95" s="298"/>
    </row>
    <row r="96" spans="1:15" ht="15.75" customHeight="1" thickBot="1">
      <c r="A96" s="101"/>
      <c r="B96" s="101"/>
      <c r="C96" s="103"/>
      <c r="D96" s="101"/>
      <c r="E96" s="101"/>
      <c r="F96" s="101"/>
      <c r="G96" s="101"/>
      <c r="H96" s="173"/>
      <c r="I96" s="104"/>
      <c r="J96" s="105"/>
      <c r="K96" s="105"/>
      <c r="L96" s="104"/>
      <c r="M96" s="104"/>
      <c r="O96" s="298"/>
    </row>
    <row r="97" spans="1:13" ht="16.5" customHeight="1" thickTop="1">
      <c r="A97" s="99">
        <v>8</v>
      </c>
      <c r="B97" s="2" t="str">
        <f>(Marketable!B85)</f>
        <v>TABLE III - DETAIL OF TREASURY SECURITIES OUTSTANDING, JANUARY 31, 2003 -- Continued</v>
      </c>
      <c r="C97" s="2"/>
      <c r="D97" s="2"/>
      <c r="E97" s="3"/>
      <c r="F97" s="3"/>
      <c r="G97" s="3"/>
      <c r="H97" s="3"/>
      <c r="I97" s="29"/>
      <c r="J97" s="3"/>
      <c r="K97" s="3"/>
      <c r="L97" s="3"/>
      <c r="M97" s="2"/>
    </row>
    <row r="98" spans="1:13" ht="10.5" customHeight="1" thickBot="1">
      <c r="A98" s="59"/>
      <c r="B98" s="59"/>
      <c r="C98" s="7"/>
      <c r="D98" s="2"/>
      <c r="E98" s="3"/>
      <c r="F98" s="3"/>
      <c r="G98" s="3"/>
      <c r="H98" s="3"/>
      <c r="I98" s="29"/>
      <c r="J98" s="3"/>
      <c r="K98" s="3"/>
      <c r="L98" s="3"/>
      <c r="M98" s="2"/>
    </row>
    <row r="99" spans="1:13" ht="15.75" customHeight="1" thickTop="1">
      <c r="A99" s="32"/>
      <c r="B99" s="32"/>
      <c r="C99" s="32"/>
      <c r="D99" s="32"/>
      <c r="E99" s="32"/>
      <c r="F99" s="32"/>
      <c r="G99" s="32"/>
      <c r="H99" s="26"/>
      <c r="I99" s="32"/>
      <c r="J99" s="32"/>
      <c r="K99" s="32"/>
      <c r="L99" s="32"/>
      <c r="M99" s="32"/>
    </row>
    <row r="100" spans="8:13" ht="15.75" customHeight="1">
      <c r="H100" s="16" t="s">
        <v>566</v>
      </c>
      <c r="I100" s="3"/>
      <c r="J100" s="3"/>
      <c r="K100" s="3"/>
      <c r="L100" s="3"/>
      <c r="M100" s="3"/>
    </row>
    <row r="101" spans="1:13" ht="15.75" customHeight="1">
      <c r="A101" s="3" t="s">
        <v>567</v>
      </c>
      <c r="B101" s="3"/>
      <c r="C101" s="3"/>
      <c r="D101" s="3"/>
      <c r="E101" s="3"/>
      <c r="F101" s="3"/>
      <c r="G101" s="3"/>
      <c r="H101" s="16" t="s">
        <v>528</v>
      </c>
      <c r="I101" s="3"/>
      <c r="J101" s="3"/>
      <c r="K101" s="3"/>
      <c r="L101" s="3"/>
      <c r="M101" s="3"/>
    </row>
    <row r="102" spans="1:13" ht="16.5" customHeight="1">
      <c r="A102" s="15"/>
      <c r="B102" s="15"/>
      <c r="C102" s="15"/>
      <c r="D102" s="15"/>
      <c r="E102" s="15"/>
      <c r="F102" s="15"/>
      <c r="G102" s="15"/>
      <c r="H102" s="37" t="s">
        <v>571</v>
      </c>
      <c r="I102" s="38"/>
      <c r="J102" s="37" t="s">
        <v>572</v>
      </c>
      <c r="K102" s="38"/>
      <c r="L102" s="37" t="s">
        <v>531</v>
      </c>
      <c r="M102" s="38"/>
    </row>
    <row r="103" spans="8:12" ht="15.75" customHeight="1">
      <c r="H103" s="14"/>
      <c r="J103" s="14"/>
      <c r="L103" s="14"/>
    </row>
    <row r="104" spans="2:12" ht="18" customHeight="1">
      <c r="B104" s="7" t="s">
        <v>740</v>
      </c>
      <c r="E104" s="43"/>
      <c r="H104" s="14"/>
      <c r="J104" s="14"/>
      <c r="L104" s="14"/>
    </row>
    <row r="105" spans="2:15" ht="18" customHeight="1">
      <c r="B105" s="78" t="s">
        <v>443</v>
      </c>
      <c r="E105" s="43"/>
      <c r="H105" s="14"/>
      <c r="J105" s="14"/>
      <c r="L105" s="14"/>
      <c r="O105" s="298"/>
    </row>
    <row r="106" spans="3:15" ht="18" customHeight="1">
      <c r="C106" s="9" t="s">
        <v>805</v>
      </c>
      <c r="H106" s="40"/>
      <c r="I106" s="21"/>
      <c r="J106" s="40"/>
      <c r="K106" s="21"/>
      <c r="L106" s="40"/>
      <c r="M106" s="21"/>
      <c r="O106" s="298"/>
    </row>
    <row r="107" spans="3:15" ht="18" customHeight="1">
      <c r="C107" s="9" t="s">
        <v>832</v>
      </c>
      <c r="H107" s="40">
        <v>1739.567</v>
      </c>
      <c r="I107" s="21"/>
      <c r="J107" s="47" t="s">
        <v>577</v>
      </c>
      <c r="K107" s="27"/>
      <c r="L107" s="40">
        <f>(H107+J107)</f>
        <v>1739.567</v>
      </c>
      <c r="M107" s="21"/>
      <c r="O107" s="298"/>
    </row>
    <row r="108" spans="3:15" ht="18" customHeight="1">
      <c r="C108" s="9" t="s">
        <v>808</v>
      </c>
      <c r="H108" s="40">
        <v>547.436</v>
      </c>
      <c r="I108" s="21"/>
      <c r="J108" s="51">
        <v>-56</v>
      </c>
      <c r="K108" s="27"/>
      <c r="L108" s="40">
        <f>(H108+J108)</f>
        <v>491.43600000000004</v>
      </c>
      <c r="M108" s="21"/>
      <c r="O108" s="298"/>
    </row>
    <row r="109" spans="3:15" ht="15.75" customHeight="1">
      <c r="C109" s="9" t="s">
        <v>809</v>
      </c>
      <c r="H109" s="40">
        <v>177670.546</v>
      </c>
      <c r="I109" s="21"/>
      <c r="J109" s="40">
        <v>-15702.473</v>
      </c>
      <c r="K109" s="21"/>
      <c r="L109" s="40">
        <f>(H109+J109)</f>
        <v>161968.073</v>
      </c>
      <c r="M109" s="21"/>
      <c r="O109" s="298"/>
    </row>
    <row r="110" spans="3:15" ht="15.75" customHeight="1">
      <c r="C110" s="9" t="s">
        <v>5</v>
      </c>
      <c r="H110" s="40">
        <v>267702.573</v>
      </c>
      <c r="I110" s="21"/>
      <c r="J110" s="51">
        <v>-30030.725</v>
      </c>
      <c r="K110" s="27"/>
      <c r="L110" s="40">
        <f>(H110+J110)</f>
        <v>237671.84799999997</v>
      </c>
      <c r="M110" s="21"/>
      <c r="O110" s="298"/>
    </row>
    <row r="111" spans="3:15" ht="15.75" customHeight="1">
      <c r="C111" s="9" t="s">
        <v>741</v>
      </c>
      <c r="H111" s="40"/>
      <c r="I111" s="21"/>
      <c r="J111" s="47"/>
      <c r="K111" s="27"/>
      <c r="L111" s="40"/>
      <c r="M111" s="21"/>
      <c r="O111" s="298"/>
    </row>
    <row r="112" spans="3:15" ht="15.75" customHeight="1">
      <c r="C112" s="9" t="s">
        <v>742</v>
      </c>
      <c r="H112" s="40">
        <v>221.369</v>
      </c>
      <c r="I112" s="21"/>
      <c r="J112" s="47" t="s">
        <v>577</v>
      </c>
      <c r="K112" s="27"/>
      <c r="L112" s="40">
        <f>(H112+J112)</f>
        <v>221.369</v>
      </c>
      <c r="M112" s="21"/>
      <c r="O112" s="298"/>
    </row>
    <row r="113" spans="3:15" ht="15.75" customHeight="1">
      <c r="C113" s="9" t="s">
        <v>6</v>
      </c>
      <c r="H113" s="40"/>
      <c r="I113" s="21"/>
      <c r="J113" s="40"/>
      <c r="K113" s="21"/>
      <c r="L113" s="40"/>
      <c r="M113" s="21"/>
      <c r="O113" s="298"/>
    </row>
    <row r="114" spans="3:15" ht="15.75" customHeight="1">
      <c r="C114" s="9" t="s">
        <v>275</v>
      </c>
      <c r="H114" s="40">
        <v>2.63</v>
      </c>
      <c r="I114" s="21"/>
      <c r="J114" s="47" t="s">
        <v>577</v>
      </c>
      <c r="K114" s="27"/>
      <c r="L114" s="40">
        <f aca="true" t="shared" si="2" ref="L114:L126">(H114+J114)</f>
        <v>2.63</v>
      </c>
      <c r="M114" s="21"/>
      <c r="O114" s="298"/>
    </row>
    <row r="115" spans="3:15" ht="15.75" customHeight="1">
      <c r="C115" s="9" t="s">
        <v>743</v>
      </c>
      <c r="H115" s="40"/>
      <c r="I115" s="21"/>
      <c r="J115" s="47"/>
      <c r="K115" s="27"/>
      <c r="L115" s="40"/>
      <c r="M115" s="21"/>
      <c r="O115" s="298"/>
    </row>
    <row r="116" spans="3:15" ht="15.75" customHeight="1">
      <c r="C116" s="9" t="s">
        <v>744</v>
      </c>
      <c r="H116" s="40">
        <v>23.143</v>
      </c>
      <c r="I116" s="21"/>
      <c r="J116" s="47" t="s">
        <v>577</v>
      </c>
      <c r="K116" s="27"/>
      <c r="L116" s="40">
        <f>(H116+J116)</f>
        <v>23.143</v>
      </c>
      <c r="M116" s="21"/>
      <c r="O116" s="298"/>
    </row>
    <row r="117" spans="3:15" ht="15.75" customHeight="1">
      <c r="C117" s="9" t="s">
        <v>356</v>
      </c>
      <c r="H117" s="40">
        <v>23437.864</v>
      </c>
      <c r="I117" s="21"/>
      <c r="J117" s="47" t="s">
        <v>577</v>
      </c>
      <c r="K117" s="27"/>
      <c r="L117" s="40">
        <f t="shared" si="2"/>
        <v>23437.864</v>
      </c>
      <c r="M117" s="21"/>
      <c r="O117" s="298"/>
    </row>
    <row r="118" spans="3:15" ht="15.75" customHeight="1">
      <c r="C118" s="9" t="s">
        <v>26</v>
      </c>
      <c r="D118" s="9"/>
      <c r="H118" s="40">
        <v>1272178.678</v>
      </c>
      <c r="I118" s="21"/>
      <c r="J118" s="51">
        <v>-41321.348</v>
      </c>
      <c r="K118" s="27"/>
      <c r="L118" s="40">
        <f t="shared" si="2"/>
        <v>1230857.33</v>
      </c>
      <c r="M118" s="21"/>
      <c r="O118" s="298"/>
    </row>
    <row r="119" spans="3:15" ht="15.75" customHeight="1">
      <c r="C119" s="9" t="s">
        <v>836</v>
      </c>
      <c r="E119" s="43"/>
      <c r="H119" s="40">
        <v>1368.2</v>
      </c>
      <c r="I119" s="21"/>
      <c r="J119" s="47" t="s">
        <v>577</v>
      </c>
      <c r="K119" s="27"/>
      <c r="L119" s="40">
        <f t="shared" si="2"/>
        <v>1368.2</v>
      </c>
      <c r="M119" s="21"/>
      <c r="O119" s="298"/>
    </row>
    <row r="120" spans="3:15" ht="15.75" customHeight="1">
      <c r="C120" s="9" t="s">
        <v>10</v>
      </c>
      <c r="H120" s="40">
        <v>58741.534</v>
      </c>
      <c r="I120" s="21"/>
      <c r="J120" s="40">
        <v>-24950.445</v>
      </c>
      <c r="K120" s="21"/>
      <c r="L120" s="40">
        <f t="shared" si="2"/>
        <v>33791.089</v>
      </c>
      <c r="M120" s="21"/>
      <c r="O120" s="298"/>
    </row>
    <row r="121" spans="3:15" ht="15.75" customHeight="1">
      <c r="C121" s="9" t="s">
        <v>687</v>
      </c>
      <c r="H121" s="40"/>
      <c r="I121" s="21"/>
      <c r="J121" s="47"/>
      <c r="K121" s="27"/>
      <c r="L121" s="40"/>
      <c r="M121" s="21"/>
      <c r="O121" s="298"/>
    </row>
    <row r="122" spans="3:15" ht="15.75" customHeight="1">
      <c r="C122" s="9" t="s">
        <v>688</v>
      </c>
      <c r="H122" s="40">
        <v>1.509</v>
      </c>
      <c r="I122" s="21"/>
      <c r="J122" s="47" t="s">
        <v>577</v>
      </c>
      <c r="K122" s="27"/>
      <c r="L122" s="40">
        <f>(H122+J122)</f>
        <v>1.509</v>
      </c>
      <c r="M122" s="21"/>
      <c r="O122" s="298"/>
    </row>
    <row r="123" spans="3:15" ht="15.75" customHeight="1">
      <c r="C123" s="9" t="s">
        <v>689</v>
      </c>
      <c r="H123" s="40"/>
      <c r="I123" s="21"/>
      <c r="J123" s="47"/>
      <c r="K123" s="27"/>
      <c r="L123" s="40"/>
      <c r="M123" s="21"/>
      <c r="O123" s="298"/>
    </row>
    <row r="124" spans="3:15" ht="15.75" customHeight="1">
      <c r="C124" s="9" t="s">
        <v>690</v>
      </c>
      <c r="H124" s="40">
        <v>1.51</v>
      </c>
      <c r="I124" s="21"/>
      <c r="J124" s="47" t="s">
        <v>577</v>
      </c>
      <c r="K124" s="27"/>
      <c r="L124" s="40">
        <f>(H124+J124)</f>
        <v>1.51</v>
      </c>
      <c r="M124" s="21"/>
      <c r="O124" s="298"/>
    </row>
    <row r="125" spans="3:15" ht="15.75" customHeight="1">
      <c r="C125" s="9" t="s">
        <v>11</v>
      </c>
      <c r="H125" s="40">
        <v>12098.875</v>
      </c>
      <c r="I125" s="21"/>
      <c r="J125" s="51">
        <v>-79.795</v>
      </c>
      <c r="K125" s="192"/>
      <c r="L125" s="40">
        <f t="shared" si="2"/>
        <v>12019.08</v>
      </c>
      <c r="M125" s="21"/>
      <c r="O125" s="298"/>
    </row>
    <row r="126" spans="3:15" ht="15.75" customHeight="1">
      <c r="C126" s="9" t="s">
        <v>837</v>
      </c>
      <c r="H126" s="40">
        <v>2900.994</v>
      </c>
      <c r="I126" s="21"/>
      <c r="J126" s="47" t="s">
        <v>577</v>
      </c>
      <c r="K126" s="27"/>
      <c r="L126" s="40">
        <f t="shared" si="2"/>
        <v>2900.994</v>
      </c>
      <c r="M126" s="21"/>
      <c r="O126" s="298"/>
    </row>
    <row r="127" spans="3:15" ht="15.75" customHeight="1">
      <c r="C127" s="9"/>
      <c r="H127" s="93"/>
      <c r="I127" s="21"/>
      <c r="J127" s="293"/>
      <c r="K127" s="27"/>
      <c r="L127" s="93"/>
      <c r="M127" s="21"/>
      <c r="O127" s="298"/>
    </row>
    <row r="128" spans="3:15" ht="15.75" customHeight="1">
      <c r="C128" s="9" t="s">
        <v>14</v>
      </c>
      <c r="H128" s="40">
        <v>60.938</v>
      </c>
      <c r="I128" s="21"/>
      <c r="J128" s="47" t="s">
        <v>577</v>
      </c>
      <c r="K128" s="27"/>
      <c r="L128" s="40">
        <f>(H128+J128)</f>
        <v>60.938</v>
      </c>
      <c r="M128" s="21"/>
      <c r="O128" s="298"/>
    </row>
    <row r="129" spans="3:15" ht="15.75" customHeight="1">
      <c r="C129" s="9" t="s">
        <v>9</v>
      </c>
      <c r="H129" s="40">
        <v>4.642</v>
      </c>
      <c r="I129" s="21"/>
      <c r="J129" s="47" t="s">
        <v>577</v>
      </c>
      <c r="K129" s="27"/>
      <c r="L129" s="40">
        <f>(H129+J129)</f>
        <v>4.642</v>
      </c>
      <c r="M129" s="21"/>
      <c r="O129" s="298"/>
    </row>
    <row r="130" spans="3:15" ht="15" customHeight="1">
      <c r="C130" s="9" t="s">
        <v>800</v>
      </c>
      <c r="H130" s="51" t="s">
        <v>761</v>
      </c>
      <c r="I130" s="21"/>
      <c r="J130" s="47" t="s">
        <v>577</v>
      </c>
      <c r="K130" s="27"/>
      <c r="L130" s="51" t="s">
        <v>761</v>
      </c>
      <c r="M130" s="21"/>
      <c r="O130" s="298"/>
    </row>
    <row r="131" spans="3:15" ht="15.75" customHeight="1">
      <c r="C131" s="9" t="s">
        <v>142</v>
      </c>
      <c r="H131" s="51">
        <v>0.929</v>
      </c>
      <c r="I131" s="21"/>
      <c r="J131" s="47" t="s">
        <v>577</v>
      </c>
      <c r="K131" s="3"/>
      <c r="L131" s="40">
        <f>(H131+J131)</f>
        <v>0.929</v>
      </c>
      <c r="M131" s="21"/>
      <c r="O131" s="298"/>
    </row>
    <row r="132" spans="3:15" ht="15.75" customHeight="1">
      <c r="C132" s="9" t="s">
        <v>15</v>
      </c>
      <c r="H132" s="51" t="s">
        <v>761</v>
      </c>
      <c r="I132" s="21"/>
      <c r="J132" s="47" t="s">
        <v>577</v>
      </c>
      <c r="K132" s="27"/>
      <c r="L132" s="51" t="s">
        <v>761</v>
      </c>
      <c r="M132" s="21"/>
      <c r="O132" s="298"/>
    </row>
    <row r="133" spans="3:15" ht="15.75" customHeight="1">
      <c r="C133" s="9" t="s">
        <v>16</v>
      </c>
      <c r="H133" s="51" t="s">
        <v>761</v>
      </c>
      <c r="I133" s="21"/>
      <c r="J133" s="47" t="s">
        <v>577</v>
      </c>
      <c r="K133" s="3"/>
      <c r="L133" s="51" t="s">
        <v>761</v>
      </c>
      <c r="M133" s="21"/>
      <c r="O133" s="298"/>
    </row>
    <row r="134" spans="3:15" ht="14.25" customHeight="1">
      <c r="C134" s="9" t="s">
        <v>18</v>
      </c>
      <c r="H134" s="40"/>
      <c r="I134" s="21"/>
      <c r="J134" s="40"/>
      <c r="K134" s="21"/>
      <c r="L134" s="40"/>
      <c r="M134" s="21"/>
      <c r="O134" s="298"/>
    </row>
    <row r="135" spans="3:15" ht="15.75" customHeight="1">
      <c r="C135" s="9" t="s">
        <v>839</v>
      </c>
      <c r="H135" s="40">
        <v>7043.859</v>
      </c>
      <c r="I135" s="21"/>
      <c r="J135" s="47" t="s">
        <v>577</v>
      </c>
      <c r="K135" s="27"/>
      <c r="L135" s="40">
        <f>(H135+J135)</f>
        <v>7043.859</v>
      </c>
      <c r="M135" s="21"/>
      <c r="O135" s="298"/>
    </row>
    <row r="136" spans="2:15" ht="18" customHeight="1">
      <c r="B136" s="7"/>
      <c r="E136" s="43"/>
      <c r="H136" s="14"/>
      <c r="J136" s="14"/>
      <c r="L136" s="14"/>
      <c r="O136" s="298"/>
    </row>
    <row r="137" spans="3:15" ht="15.75" customHeight="1">
      <c r="C137" s="9" t="s">
        <v>21</v>
      </c>
      <c r="H137" s="40">
        <v>1823.05</v>
      </c>
      <c r="I137" s="21"/>
      <c r="J137" s="47" t="s">
        <v>577</v>
      </c>
      <c r="K137" s="27"/>
      <c r="L137" s="40">
        <f>(H137+J137)</f>
        <v>1823.05</v>
      </c>
      <c r="M137" s="21"/>
      <c r="O137" s="298"/>
    </row>
    <row r="138" spans="3:15" ht="15.75" customHeight="1">
      <c r="C138" s="9" t="s">
        <v>22</v>
      </c>
      <c r="H138" s="40"/>
      <c r="I138" s="21"/>
      <c r="J138" s="40"/>
      <c r="K138" s="21"/>
      <c r="L138" s="40"/>
      <c r="M138" s="21"/>
      <c r="O138" s="298"/>
    </row>
    <row r="139" spans="3:15" ht="15.75" customHeight="1">
      <c r="C139" s="9" t="s">
        <v>840</v>
      </c>
      <c r="H139" s="40">
        <v>55.221</v>
      </c>
      <c r="I139" s="21"/>
      <c r="J139" s="51" t="s">
        <v>779</v>
      </c>
      <c r="K139" s="21"/>
      <c r="L139" s="40">
        <f>(H139+J139)</f>
        <v>55.221</v>
      </c>
      <c r="M139" s="21"/>
      <c r="O139" s="298"/>
    </row>
    <row r="140" spans="3:15" ht="15.75" customHeight="1">
      <c r="C140" s="9" t="s">
        <v>534</v>
      </c>
      <c r="H140" s="40">
        <v>2872.072</v>
      </c>
      <c r="I140" s="21"/>
      <c r="J140" s="47" t="s">
        <v>577</v>
      </c>
      <c r="K140" s="27"/>
      <c r="L140" s="40">
        <f>(H140+J140)</f>
        <v>2872.072</v>
      </c>
      <c r="M140" s="21"/>
      <c r="O140" s="298"/>
    </row>
    <row r="141" spans="3:15" ht="15.75" customHeight="1">
      <c r="C141" s="9" t="s">
        <v>24</v>
      </c>
      <c r="H141" s="40">
        <v>24773.952</v>
      </c>
      <c r="I141" s="21"/>
      <c r="J141" s="51">
        <v>-5395.436</v>
      </c>
      <c r="K141" s="192"/>
      <c r="L141" s="40">
        <f>(H141+J141)</f>
        <v>19378.516000000003</v>
      </c>
      <c r="M141" s="21"/>
      <c r="O141" s="298"/>
    </row>
    <row r="142" spans="3:15" ht="15.75" customHeight="1">
      <c r="C142" s="9" t="s">
        <v>785</v>
      </c>
      <c r="H142" s="51">
        <v>7.757</v>
      </c>
      <c r="I142" s="21"/>
      <c r="J142" s="51">
        <v>-2.383</v>
      </c>
      <c r="K142" s="21"/>
      <c r="L142" s="40">
        <f>(H142+J142)-0.202</f>
        <v>5.172</v>
      </c>
      <c r="M142" s="21"/>
      <c r="O142" s="298"/>
    </row>
    <row r="143" spans="3:15" ht="15.75" customHeight="1">
      <c r="C143" s="9"/>
      <c r="H143" s="40"/>
      <c r="I143" s="21"/>
      <c r="J143" s="40"/>
      <c r="K143" s="27"/>
      <c r="L143" s="40"/>
      <c r="M143" s="21"/>
      <c r="O143" s="298"/>
    </row>
    <row r="144" spans="3:15" ht="15.75" customHeight="1">
      <c r="C144" s="9" t="s">
        <v>841</v>
      </c>
      <c r="H144" s="40">
        <v>386.06</v>
      </c>
      <c r="I144" s="21"/>
      <c r="J144" s="47" t="s">
        <v>577</v>
      </c>
      <c r="K144" s="27"/>
      <c r="L144" s="40">
        <f>(H144+J144)</f>
        <v>386.06</v>
      </c>
      <c r="M144" s="21"/>
      <c r="O144" s="298"/>
    </row>
    <row r="145" spans="3:15" ht="15.75" customHeight="1">
      <c r="C145" s="133" t="s">
        <v>25</v>
      </c>
      <c r="H145" s="51" t="s">
        <v>761</v>
      </c>
      <c r="I145" s="21"/>
      <c r="J145" s="47" t="s">
        <v>577</v>
      </c>
      <c r="K145" s="27"/>
      <c r="L145" s="51" t="s">
        <v>761</v>
      </c>
      <c r="M145" s="21"/>
      <c r="O145" s="298"/>
    </row>
    <row r="146" spans="3:15" ht="15.75" customHeight="1">
      <c r="C146" s="9" t="s">
        <v>130</v>
      </c>
      <c r="H146" s="40">
        <v>4.427</v>
      </c>
      <c r="I146" s="21"/>
      <c r="J146" s="51" t="s">
        <v>779</v>
      </c>
      <c r="K146" s="3"/>
      <c r="L146" s="40">
        <f>(H146+J146)</f>
        <v>4.427</v>
      </c>
      <c r="M146" s="21"/>
      <c r="O146" s="298"/>
    </row>
    <row r="147" spans="8:15" ht="15.75" customHeight="1">
      <c r="H147" s="14"/>
      <c r="J147" s="14"/>
      <c r="L147" s="14"/>
      <c r="O147" s="298"/>
    </row>
    <row r="148" spans="3:15" ht="15.75" customHeight="1">
      <c r="C148" s="9" t="s">
        <v>46</v>
      </c>
      <c r="H148" s="40">
        <v>37.274</v>
      </c>
      <c r="I148" s="21"/>
      <c r="J148" s="47" t="s">
        <v>577</v>
      </c>
      <c r="K148" s="27"/>
      <c r="L148" s="40">
        <f>(H148+J148)</f>
        <v>37.274</v>
      </c>
      <c r="M148" s="21"/>
      <c r="O148" s="298"/>
    </row>
    <row r="149" spans="3:15" ht="15.75" customHeight="1">
      <c r="C149" s="9" t="s">
        <v>47</v>
      </c>
      <c r="H149" s="40"/>
      <c r="I149" s="21"/>
      <c r="J149" s="40"/>
      <c r="K149" s="21"/>
      <c r="L149" s="40"/>
      <c r="M149" s="21"/>
      <c r="O149" s="298"/>
    </row>
    <row r="150" spans="3:15" ht="15.75" customHeight="1">
      <c r="C150" s="9" t="s">
        <v>842</v>
      </c>
      <c r="H150" s="40">
        <v>39.84</v>
      </c>
      <c r="I150" s="21"/>
      <c r="J150" s="47" t="s">
        <v>577</v>
      </c>
      <c r="K150" s="27"/>
      <c r="L150" s="40">
        <f>(H150+J150)</f>
        <v>39.84</v>
      </c>
      <c r="M150" s="21"/>
      <c r="O150" s="298"/>
    </row>
    <row r="151" spans="3:15" ht="15.75" customHeight="1">
      <c r="C151" s="9" t="s">
        <v>48</v>
      </c>
      <c r="H151" s="40">
        <v>10.202</v>
      </c>
      <c r="I151" s="21"/>
      <c r="J151" s="51" t="s">
        <v>779</v>
      </c>
      <c r="K151" s="3"/>
      <c r="L151" s="40">
        <f>(H151+J151)</f>
        <v>10.202</v>
      </c>
      <c r="M151" s="21"/>
      <c r="O151" s="298"/>
    </row>
    <row r="152" spans="3:15" ht="15.75" customHeight="1">
      <c r="C152" s="9" t="s">
        <v>49</v>
      </c>
      <c r="H152" s="40">
        <v>154.976</v>
      </c>
      <c r="I152" s="21"/>
      <c r="J152" s="47" t="s">
        <v>577</v>
      </c>
      <c r="K152" s="27"/>
      <c r="L152" s="40">
        <f>(H152+J152)</f>
        <v>154.976</v>
      </c>
      <c r="M152" s="21"/>
      <c r="O152" s="298"/>
    </row>
    <row r="153" spans="3:15" ht="15.75" customHeight="1">
      <c r="C153" s="9" t="s">
        <v>51</v>
      </c>
      <c r="H153" s="40">
        <v>414.458</v>
      </c>
      <c r="I153" s="21"/>
      <c r="J153" s="51">
        <v>-11.149</v>
      </c>
      <c r="K153" s="27"/>
      <c r="L153" s="40">
        <f>(H153+J153)</f>
        <v>403.309</v>
      </c>
      <c r="M153" s="21"/>
      <c r="O153" s="298"/>
    </row>
    <row r="154" spans="8:15" ht="15.75" customHeight="1">
      <c r="H154" s="40"/>
      <c r="I154" s="21"/>
      <c r="J154" s="40"/>
      <c r="K154" s="21"/>
      <c r="L154" s="40"/>
      <c r="M154" s="21"/>
      <c r="O154" s="298"/>
    </row>
    <row r="155" spans="3:15" ht="15.75" customHeight="1">
      <c r="C155" s="9" t="s">
        <v>61</v>
      </c>
      <c r="H155" s="40">
        <v>6.216</v>
      </c>
      <c r="I155" s="21"/>
      <c r="J155" s="51" t="s">
        <v>779</v>
      </c>
      <c r="K155" s="3"/>
      <c r="L155" s="40">
        <f>(H155+J155)</f>
        <v>6.216</v>
      </c>
      <c r="M155" s="21"/>
      <c r="O155" s="298"/>
    </row>
    <row r="156" spans="3:15" ht="15.75" customHeight="1">
      <c r="C156" s="9"/>
      <c r="H156" s="40"/>
      <c r="I156" s="21"/>
      <c r="J156" s="51"/>
      <c r="K156" s="3"/>
      <c r="L156" s="40"/>
      <c r="M156" s="21"/>
      <c r="O156" s="298"/>
    </row>
    <row r="157" spans="3:15" ht="15.75" customHeight="1">
      <c r="C157" s="9" t="s">
        <v>843</v>
      </c>
      <c r="H157" s="40">
        <v>3.072</v>
      </c>
      <c r="I157" s="21"/>
      <c r="J157" s="47" t="s">
        <v>577</v>
      </c>
      <c r="K157" s="27"/>
      <c r="L157" s="40">
        <f>(H157+J157)</f>
        <v>3.072</v>
      </c>
      <c r="M157" s="21"/>
      <c r="O157" s="298"/>
    </row>
    <row r="158" spans="3:15" ht="15.75" customHeight="1">
      <c r="C158" s="9" t="s">
        <v>62</v>
      </c>
      <c r="H158" s="40">
        <v>1969.632</v>
      </c>
      <c r="I158" s="21"/>
      <c r="J158" s="47" t="s">
        <v>577</v>
      </c>
      <c r="K158" s="27"/>
      <c r="L158" s="40">
        <f>(H158+J158)</f>
        <v>1969.632</v>
      </c>
      <c r="M158" s="21"/>
      <c r="O158" s="298"/>
    </row>
    <row r="159" spans="3:15" ht="15.75" customHeight="1">
      <c r="C159" s="9" t="s">
        <v>279</v>
      </c>
      <c r="H159" s="40">
        <v>8.406</v>
      </c>
      <c r="I159" s="21"/>
      <c r="J159" s="47" t="s">
        <v>577</v>
      </c>
      <c r="K159" s="27"/>
      <c r="L159" s="40">
        <f>(H159+J159)</f>
        <v>8.406</v>
      </c>
      <c r="M159" s="21"/>
      <c r="O159" s="298"/>
    </row>
    <row r="160" spans="3:15" ht="15.75" customHeight="1">
      <c r="C160" s="9" t="s">
        <v>63</v>
      </c>
      <c r="H160" s="40">
        <v>36.489</v>
      </c>
      <c r="I160" s="21"/>
      <c r="J160" s="47" t="s">
        <v>577</v>
      </c>
      <c r="K160" s="27"/>
      <c r="L160" s="40">
        <f>(H160+J160)</f>
        <v>36.489</v>
      </c>
      <c r="M160" s="21"/>
      <c r="O160" s="298"/>
    </row>
    <row r="161" spans="3:15" ht="15.75" customHeight="1">
      <c r="C161" s="9" t="s">
        <v>844</v>
      </c>
      <c r="H161" s="51" t="s">
        <v>761</v>
      </c>
      <c r="I161" s="21"/>
      <c r="J161" s="47" t="s">
        <v>577</v>
      </c>
      <c r="K161" s="27"/>
      <c r="L161" s="51" t="s">
        <v>761</v>
      </c>
      <c r="M161" s="21"/>
      <c r="O161" s="298"/>
    </row>
    <row r="162" spans="3:15" ht="15.75" customHeight="1">
      <c r="C162" s="9" t="s">
        <v>349</v>
      </c>
      <c r="H162" s="40">
        <v>7.003</v>
      </c>
      <c r="I162" s="21"/>
      <c r="J162" s="47" t="s">
        <v>577</v>
      </c>
      <c r="K162" s="27"/>
      <c r="L162" s="40">
        <f>(H162+J162)</f>
        <v>7.003</v>
      </c>
      <c r="M162" s="21"/>
      <c r="O162" s="298"/>
    </row>
    <row r="163" spans="3:15" ht="15.75" customHeight="1">
      <c r="C163" s="9"/>
      <c r="H163" s="40"/>
      <c r="I163" s="21"/>
      <c r="J163" s="47"/>
      <c r="K163" s="27"/>
      <c r="L163" s="40"/>
      <c r="M163" s="21"/>
      <c r="O163" s="298"/>
    </row>
    <row r="164" spans="3:15" ht="15.75" customHeight="1">
      <c r="C164" s="9" t="s">
        <v>453</v>
      </c>
      <c r="H164" s="40">
        <v>10.695</v>
      </c>
      <c r="I164" s="21"/>
      <c r="J164" s="47" t="s">
        <v>577</v>
      </c>
      <c r="K164" s="27"/>
      <c r="L164" s="40">
        <f>(H164+J164)</f>
        <v>10.695</v>
      </c>
      <c r="M164" s="21"/>
      <c r="O164" s="298"/>
    </row>
    <row r="165" spans="3:15" ht="15.75" customHeight="1">
      <c r="C165" s="9" t="s">
        <v>67</v>
      </c>
      <c r="H165" s="40" t="s">
        <v>528</v>
      </c>
      <c r="I165" s="21"/>
      <c r="J165" s="40"/>
      <c r="K165" s="21"/>
      <c r="L165" s="40"/>
      <c r="M165" s="21"/>
      <c r="O165" s="298"/>
    </row>
    <row r="166" spans="3:15" ht="15.75" customHeight="1">
      <c r="C166" s="9" t="s">
        <v>845</v>
      </c>
      <c r="H166" s="40">
        <v>21.507</v>
      </c>
      <c r="I166" s="21"/>
      <c r="J166" s="47" t="s">
        <v>577</v>
      </c>
      <c r="K166" s="27"/>
      <c r="L166" s="40">
        <f>(H166+J166)</f>
        <v>21.507</v>
      </c>
      <c r="M166" s="21"/>
      <c r="O166" s="298"/>
    </row>
    <row r="167" spans="8:15" ht="15.75" customHeight="1">
      <c r="H167" s="40"/>
      <c r="I167" s="21"/>
      <c r="J167" s="40"/>
      <c r="K167" s="21"/>
      <c r="L167" s="40"/>
      <c r="M167" s="21"/>
      <c r="O167" s="298"/>
    </row>
    <row r="168" spans="3:15" ht="15.75" customHeight="1">
      <c r="C168" s="9" t="s">
        <v>27</v>
      </c>
      <c r="H168" s="40">
        <v>12.543</v>
      </c>
      <c r="I168" s="21"/>
      <c r="J168" s="47" t="s">
        <v>577</v>
      </c>
      <c r="K168" s="27"/>
      <c r="L168" s="40">
        <f aca="true" t="shared" si="3" ref="L168:L176">(H168+J168)</f>
        <v>12.543</v>
      </c>
      <c r="M168" s="21"/>
      <c r="O168" s="298"/>
    </row>
    <row r="169" spans="3:15" ht="15.75" customHeight="1">
      <c r="C169" s="9" t="s">
        <v>28</v>
      </c>
      <c r="H169" s="40">
        <v>5417.048</v>
      </c>
      <c r="I169" s="21"/>
      <c r="J169" s="47" t="s">
        <v>577</v>
      </c>
      <c r="K169" s="27"/>
      <c r="L169" s="40">
        <f t="shared" si="3"/>
        <v>5417.048</v>
      </c>
      <c r="M169" s="21"/>
      <c r="O169" s="298"/>
    </row>
    <row r="170" spans="3:15" ht="15.75" customHeight="1">
      <c r="C170" s="9" t="s">
        <v>524</v>
      </c>
      <c r="H170" s="40">
        <v>6.716</v>
      </c>
      <c r="I170" s="21"/>
      <c r="J170" s="47" t="s">
        <v>577</v>
      </c>
      <c r="K170" s="27"/>
      <c r="L170" s="40">
        <f t="shared" si="3"/>
        <v>6.716</v>
      </c>
      <c r="M170" s="21"/>
      <c r="O170" s="298"/>
    </row>
    <row r="171" spans="3:15" ht="15.75" customHeight="1">
      <c r="C171" s="9" t="s">
        <v>846</v>
      </c>
      <c r="H171" s="51">
        <v>10.441</v>
      </c>
      <c r="I171" s="21"/>
      <c r="J171" s="47" t="s">
        <v>577</v>
      </c>
      <c r="K171" s="27"/>
      <c r="L171" s="40">
        <f t="shared" si="3"/>
        <v>10.441</v>
      </c>
      <c r="M171" s="21"/>
      <c r="O171" s="298"/>
    </row>
    <row r="172" spans="3:15" ht="15.75" customHeight="1">
      <c r="C172" s="9" t="s">
        <v>30</v>
      </c>
      <c r="H172" s="40">
        <v>17.378</v>
      </c>
      <c r="I172" s="21"/>
      <c r="J172" s="47" t="s">
        <v>577</v>
      </c>
      <c r="K172" s="27"/>
      <c r="L172" s="40">
        <f>(H172+J172)</f>
        <v>17.378</v>
      </c>
      <c r="M172" s="21"/>
      <c r="O172" s="298"/>
    </row>
    <row r="173" spans="3:15" ht="15.75" customHeight="1">
      <c r="C173" s="9" t="s">
        <v>31</v>
      </c>
      <c r="H173" s="40">
        <v>30.818</v>
      </c>
      <c r="I173" s="21"/>
      <c r="J173" s="47" t="s">
        <v>577</v>
      </c>
      <c r="K173" s="27"/>
      <c r="L173" s="40">
        <f t="shared" si="3"/>
        <v>30.818</v>
      </c>
      <c r="M173" s="21"/>
      <c r="O173" s="298"/>
    </row>
    <row r="174" spans="3:15" ht="15.75" customHeight="1">
      <c r="C174" s="9" t="s">
        <v>32</v>
      </c>
      <c r="H174" s="40">
        <v>21826.715</v>
      </c>
      <c r="I174" s="21"/>
      <c r="J174" s="51">
        <v>-10280.921</v>
      </c>
      <c r="K174" s="27"/>
      <c r="L174" s="40">
        <f t="shared" si="3"/>
        <v>11545.794</v>
      </c>
      <c r="M174" s="21"/>
      <c r="O174" s="298"/>
    </row>
    <row r="175" spans="3:15" ht="15.75" customHeight="1">
      <c r="C175" s="9" t="s">
        <v>43</v>
      </c>
      <c r="H175" s="40">
        <v>185.169</v>
      </c>
      <c r="I175" s="21"/>
      <c r="J175" s="47" t="s">
        <v>577</v>
      </c>
      <c r="K175" s="27"/>
      <c r="L175" s="40">
        <f>(H175+J175)</f>
        <v>185.169</v>
      </c>
      <c r="M175" s="21"/>
      <c r="O175" s="298"/>
    </row>
    <row r="176" spans="3:15" ht="15.75" customHeight="1">
      <c r="C176" s="9" t="s">
        <v>847</v>
      </c>
      <c r="H176" s="40">
        <v>34.955</v>
      </c>
      <c r="I176" s="21"/>
      <c r="J176" s="47" t="s">
        <v>577</v>
      </c>
      <c r="K176" s="27"/>
      <c r="L176" s="40">
        <f t="shared" si="3"/>
        <v>34.955</v>
      </c>
      <c r="M176" s="21"/>
      <c r="O176" s="298"/>
    </row>
    <row r="177" spans="3:15" ht="15.75" customHeight="1">
      <c r="C177" s="9" t="s">
        <v>68</v>
      </c>
      <c r="H177" s="40"/>
      <c r="I177" s="21"/>
      <c r="J177" s="40"/>
      <c r="K177" s="21"/>
      <c r="L177" s="40"/>
      <c r="M177" s="21"/>
      <c r="O177" s="298"/>
    </row>
    <row r="178" spans="3:15" ht="15.75" customHeight="1">
      <c r="C178" s="9" t="s">
        <v>848</v>
      </c>
      <c r="H178" s="40">
        <v>152.233</v>
      </c>
      <c r="I178" s="21"/>
      <c r="J178" s="47" t="s">
        <v>577</v>
      </c>
      <c r="K178" s="27"/>
      <c r="L178" s="40">
        <f>(H178+J178)</f>
        <v>152.233</v>
      </c>
      <c r="M178" s="21"/>
      <c r="O178" s="298"/>
    </row>
    <row r="179" spans="3:15" ht="15.75" customHeight="1">
      <c r="C179" s="9" t="s">
        <v>76</v>
      </c>
      <c r="H179" s="40">
        <v>27384.14</v>
      </c>
      <c r="I179" s="21"/>
      <c r="J179" s="40">
        <v>-3348.537</v>
      </c>
      <c r="K179" s="21"/>
      <c r="L179" s="40">
        <f>(H179+J179)</f>
        <v>24035.603</v>
      </c>
      <c r="M179" s="21"/>
      <c r="O179" s="298"/>
    </row>
    <row r="180" spans="8:15" ht="15.75" customHeight="1">
      <c r="H180" s="40"/>
      <c r="I180" s="21"/>
      <c r="J180" s="40"/>
      <c r="K180" s="21"/>
      <c r="L180" s="40"/>
      <c r="M180" s="21"/>
      <c r="O180" s="298"/>
    </row>
    <row r="181" spans="3:15" ht="15.75" customHeight="1">
      <c r="C181" s="9" t="s">
        <v>77</v>
      </c>
      <c r="H181" s="40">
        <v>957.123</v>
      </c>
      <c r="I181" s="21"/>
      <c r="J181" s="51" t="s">
        <v>779</v>
      </c>
      <c r="K181" s="3"/>
      <c r="L181" s="40">
        <f>(H181+J181)-0.346</f>
        <v>956.777</v>
      </c>
      <c r="M181" s="21"/>
      <c r="O181" s="298"/>
    </row>
    <row r="182" spans="3:15" ht="15.75" customHeight="1">
      <c r="C182" s="9" t="s">
        <v>79</v>
      </c>
      <c r="H182" s="51" t="s">
        <v>761</v>
      </c>
      <c r="I182" s="21"/>
      <c r="J182" s="47" t="s">
        <v>577</v>
      </c>
      <c r="K182" s="27"/>
      <c r="L182" s="51" t="s">
        <v>761</v>
      </c>
      <c r="M182" s="21"/>
      <c r="O182" s="298"/>
    </row>
    <row r="183" spans="3:15" ht="15.75" customHeight="1">
      <c r="C183" s="9" t="s">
        <v>80</v>
      </c>
      <c r="H183" s="51">
        <v>16.52</v>
      </c>
      <c r="I183" s="21"/>
      <c r="J183" s="47" t="s">
        <v>577</v>
      </c>
      <c r="K183" s="27"/>
      <c r="L183" s="40">
        <f>(H183+J183)</f>
        <v>16.52</v>
      </c>
      <c r="M183" s="21"/>
      <c r="O183" s="298"/>
    </row>
    <row r="184" spans="3:15" ht="15.75" customHeight="1">
      <c r="C184" s="9" t="s">
        <v>849</v>
      </c>
      <c r="H184" s="40">
        <v>26.217</v>
      </c>
      <c r="I184" s="21"/>
      <c r="J184" s="47" t="s">
        <v>577</v>
      </c>
      <c r="K184" s="27"/>
      <c r="L184" s="40">
        <f>(H184+J184)</f>
        <v>26.217</v>
      </c>
      <c r="M184" s="21"/>
      <c r="O184" s="298"/>
    </row>
    <row r="185" spans="3:15" ht="15.75" customHeight="1">
      <c r="C185" s="9" t="s">
        <v>81</v>
      </c>
      <c r="H185" s="40"/>
      <c r="I185" s="21"/>
      <c r="J185" s="40"/>
      <c r="K185" s="21"/>
      <c r="L185" s="40"/>
      <c r="M185" s="21"/>
      <c r="O185" s="298"/>
    </row>
    <row r="186" spans="3:15" ht="15.75" customHeight="1">
      <c r="C186" s="9" t="s">
        <v>851</v>
      </c>
      <c r="H186" s="40">
        <v>3605.778</v>
      </c>
      <c r="I186" s="21"/>
      <c r="J186" s="40">
        <v>-79.754</v>
      </c>
      <c r="K186" s="21"/>
      <c r="L186" s="40">
        <f>(H186+J186)</f>
        <v>3526.024</v>
      </c>
      <c r="M186" s="21"/>
      <c r="O186" s="298"/>
    </row>
    <row r="187" spans="8:15" ht="15.75" customHeight="1">
      <c r="H187" s="40"/>
      <c r="I187" s="21"/>
      <c r="J187" s="40"/>
      <c r="K187" s="21"/>
      <c r="L187" s="40"/>
      <c r="M187" s="21"/>
      <c r="O187" s="298"/>
    </row>
    <row r="188" spans="3:15" ht="15.75" customHeight="1">
      <c r="C188" s="9" t="s">
        <v>82</v>
      </c>
      <c r="H188" s="40">
        <v>73.889</v>
      </c>
      <c r="I188" s="21"/>
      <c r="J188" s="47" t="s">
        <v>577</v>
      </c>
      <c r="K188" s="27"/>
      <c r="L188" s="40">
        <f>(H188+J188)</f>
        <v>73.889</v>
      </c>
      <c r="M188" s="21"/>
      <c r="O188" s="298"/>
    </row>
    <row r="189" spans="3:15" ht="15.75" customHeight="1">
      <c r="C189" s="9" t="s">
        <v>510</v>
      </c>
      <c r="H189" s="40">
        <v>2.39</v>
      </c>
      <c r="I189" s="21"/>
      <c r="J189" s="47" t="s">
        <v>577</v>
      </c>
      <c r="K189" s="27"/>
      <c r="L189" s="40">
        <f>(H189+J189)</f>
        <v>2.39</v>
      </c>
      <c r="M189" s="21"/>
      <c r="O189" s="298"/>
    </row>
    <row r="190" spans="3:15" ht="15.75" customHeight="1">
      <c r="C190" s="9" t="s">
        <v>852</v>
      </c>
      <c r="H190" s="51" t="s">
        <v>761</v>
      </c>
      <c r="I190" s="21"/>
      <c r="J190" s="47" t="s">
        <v>577</v>
      </c>
      <c r="K190" s="27"/>
      <c r="L190" s="51" t="s">
        <v>761</v>
      </c>
      <c r="M190" s="21"/>
      <c r="O190" s="298"/>
    </row>
    <row r="191" spans="3:15" ht="15.75" customHeight="1">
      <c r="C191" s="9"/>
      <c r="H191" s="427"/>
      <c r="I191" s="21"/>
      <c r="J191" s="110"/>
      <c r="K191" s="27"/>
      <c r="L191" s="427"/>
      <c r="M191" s="21"/>
      <c r="O191" s="298"/>
    </row>
    <row r="192" spans="3:13" s="101" customFormat="1" ht="15.75" customHeight="1" thickBot="1">
      <c r="C192" s="103"/>
      <c r="H192" s="173"/>
      <c r="I192" s="104"/>
      <c r="J192" s="105"/>
      <c r="K192" s="105"/>
      <c r="L192" s="104"/>
      <c r="M192" s="104"/>
    </row>
    <row r="193" spans="1:13" ht="16.5" customHeight="1" thickTop="1">
      <c r="A193" s="59"/>
      <c r="B193" s="2" t="str">
        <f>(Marketable!B85)</f>
        <v>TABLE III - DETAIL OF TREASURY SECURITIES OUTSTANDING, JANUARY 31, 2003 -- Continued</v>
      </c>
      <c r="C193" s="2"/>
      <c r="D193" s="2"/>
      <c r="E193" s="3"/>
      <c r="F193" s="3"/>
      <c r="G193" s="3"/>
      <c r="H193" s="3"/>
      <c r="I193" s="29"/>
      <c r="J193" s="3"/>
      <c r="K193" s="3"/>
      <c r="L193" s="3"/>
      <c r="M193" s="100">
        <v>9</v>
      </c>
    </row>
    <row r="194" spans="1:13" ht="10.5" customHeight="1" thickBot="1">
      <c r="A194" s="59"/>
      <c r="B194" s="59"/>
      <c r="C194" s="7"/>
      <c r="D194" s="2"/>
      <c r="E194" s="3"/>
      <c r="F194" s="3"/>
      <c r="G194" s="3"/>
      <c r="H194" s="3"/>
      <c r="I194" s="29"/>
      <c r="J194" s="3"/>
      <c r="K194" s="3"/>
      <c r="L194" s="3"/>
      <c r="M194" s="58"/>
    </row>
    <row r="195" spans="1:13" ht="15.75" customHeight="1" thickTop="1">
      <c r="A195" s="32"/>
      <c r="B195" s="32"/>
      <c r="C195" s="32"/>
      <c r="D195" s="32"/>
      <c r="E195" s="32"/>
      <c r="F195" s="32"/>
      <c r="G195" s="32"/>
      <c r="H195" s="26"/>
      <c r="I195" s="32"/>
      <c r="J195" s="32"/>
      <c r="K195" s="32"/>
      <c r="L195" s="32"/>
      <c r="M195" s="32"/>
    </row>
    <row r="196" spans="8:13" ht="15.75" customHeight="1">
      <c r="H196" s="16" t="s">
        <v>566</v>
      </c>
      <c r="I196" s="3"/>
      <c r="J196" s="3"/>
      <c r="K196" s="3"/>
      <c r="L196" s="3"/>
      <c r="M196" s="3"/>
    </row>
    <row r="197" spans="1:13" ht="15.75" customHeight="1">
      <c r="A197" s="3" t="s">
        <v>567</v>
      </c>
      <c r="B197" s="3"/>
      <c r="C197" s="3"/>
      <c r="D197" s="3"/>
      <c r="E197" s="3"/>
      <c r="F197" s="3"/>
      <c r="G197" s="3"/>
      <c r="H197" s="16" t="s">
        <v>528</v>
      </c>
      <c r="I197" s="3"/>
      <c r="J197" s="3"/>
      <c r="K197" s="3"/>
      <c r="L197" s="3"/>
      <c r="M197" s="3"/>
    </row>
    <row r="198" spans="1:13" ht="16.5" customHeight="1">
      <c r="A198" s="15"/>
      <c r="B198" s="15"/>
      <c r="C198" s="15"/>
      <c r="D198" s="15"/>
      <c r="E198" s="15"/>
      <c r="F198" s="15"/>
      <c r="G198" s="15"/>
      <c r="H198" s="37" t="s">
        <v>571</v>
      </c>
      <c r="I198" s="38"/>
      <c r="J198" s="37" t="s">
        <v>572</v>
      </c>
      <c r="K198" s="38"/>
      <c r="L198" s="37" t="s">
        <v>531</v>
      </c>
      <c r="M198" s="38"/>
    </row>
    <row r="199" spans="8:12" ht="15.75" customHeight="1">
      <c r="H199" s="14"/>
      <c r="J199" s="14"/>
      <c r="L199" s="14"/>
    </row>
    <row r="200" spans="2:12" ht="18" customHeight="1">
      <c r="B200" s="7" t="s">
        <v>740</v>
      </c>
      <c r="E200" s="43"/>
      <c r="H200" s="14"/>
      <c r="J200" s="14"/>
      <c r="L200" s="14"/>
    </row>
    <row r="201" spans="2:15" ht="18" customHeight="1">
      <c r="B201" s="78" t="s">
        <v>443</v>
      </c>
      <c r="E201" s="43"/>
      <c r="H201" s="14"/>
      <c r="J201" s="14"/>
      <c r="L201" s="14"/>
      <c r="O201" s="298"/>
    </row>
    <row r="202" spans="3:15" ht="15.75" customHeight="1">
      <c r="C202" s="9" t="s">
        <v>83</v>
      </c>
      <c r="H202" s="40">
        <v>628.007</v>
      </c>
      <c r="I202" s="21"/>
      <c r="J202" s="47" t="s">
        <v>577</v>
      </c>
      <c r="K202" s="27"/>
      <c r="L202" s="40">
        <f>(H202+J202)</f>
        <v>628.007</v>
      </c>
      <c r="M202" s="21"/>
      <c r="O202" s="298"/>
    </row>
    <row r="203" spans="3:15" ht="15.75" customHeight="1">
      <c r="C203" s="9" t="s">
        <v>99</v>
      </c>
      <c r="H203" s="40">
        <v>17586.915</v>
      </c>
      <c r="I203" s="21"/>
      <c r="J203" s="40">
        <v>-5077.763</v>
      </c>
      <c r="K203" s="21"/>
      <c r="L203" s="40">
        <f>(H203+J203)</f>
        <v>12509.152000000002</v>
      </c>
      <c r="M203" s="21"/>
      <c r="O203" s="298"/>
    </row>
    <row r="204" spans="3:15" ht="15.75" customHeight="1">
      <c r="C204" s="9" t="s">
        <v>126</v>
      </c>
      <c r="H204" s="40">
        <v>2.616</v>
      </c>
      <c r="I204" s="21"/>
      <c r="J204" s="47" t="s">
        <v>577</v>
      </c>
      <c r="K204" s="27"/>
      <c r="L204" s="40">
        <f>(H204+J204)</f>
        <v>2.616</v>
      </c>
      <c r="M204" s="21"/>
      <c r="O204" s="298"/>
    </row>
    <row r="205" spans="3:15" ht="15.75" customHeight="1">
      <c r="C205" s="9" t="s">
        <v>320</v>
      </c>
      <c r="H205" s="40">
        <v>1416.7</v>
      </c>
      <c r="I205" s="21"/>
      <c r="J205" s="47" t="s">
        <v>577</v>
      </c>
      <c r="K205" s="27"/>
      <c r="L205" s="40">
        <f>(H205-J205)</f>
        <v>1416.7</v>
      </c>
      <c r="M205" s="21"/>
      <c r="O205" s="298"/>
    </row>
    <row r="206" spans="3:15" ht="15.75" customHeight="1">
      <c r="C206" s="9" t="s">
        <v>853</v>
      </c>
      <c r="H206" s="40">
        <v>42.031</v>
      </c>
      <c r="I206" s="21"/>
      <c r="J206" s="47" t="s">
        <v>577</v>
      </c>
      <c r="K206" s="27"/>
      <c r="L206" s="40">
        <f>(H206-J206)</f>
        <v>42.031</v>
      </c>
      <c r="M206" s="21"/>
      <c r="O206" s="298"/>
    </row>
    <row r="207" spans="3:15" ht="15.75" customHeight="1">
      <c r="C207" s="9" t="s">
        <v>552</v>
      </c>
      <c r="H207" s="51" t="s">
        <v>761</v>
      </c>
      <c r="I207" s="21"/>
      <c r="J207" s="47" t="s">
        <v>577</v>
      </c>
      <c r="K207" s="27"/>
      <c r="L207" s="51" t="s">
        <v>761</v>
      </c>
      <c r="M207" s="21"/>
      <c r="O207" s="298"/>
    </row>
    <row r="208" spans="3:15" ht="15.75" customHeight="1">
      <c r="C208" s="9" t="s">
        <v>553</v>
      </c>
      <c r="H208" s="51">
        <v>153.8</v>
      </c>
      <c r="I208" s="21"/>
      <c r="J208" s="47" t="s">
        <v>577</v>
      </c>
      <c r="K208" s="27"/>
      <c r="L208" s="40">
        <f>(H208-J208)</f>
        <v>153.8</v>
      </c>
      <c r="M208" s="21"/>
      <c r="O208" s="298"/>
    </row>
    <row r="209" spans="3:15" ht="15.75" customHeight="1">
      <c r="C209" s="9" t="s">
        <v>405</v>
      </c>
      <c r="H209" s="51">
        <v>161.28</v>
      </c>
      <c r="I209" s="21"/>
      <c r="J209" s="47" t="s">
        <v>577</v>
      </c>
      <c r="K209" s="27"/>
      <c r="L209" s="40">
        <f>(H209-J209)</f>
        <v>161.28</v>
      </c>
      <c r="M209" s="21"/>
      <c r="O209" s="298"/>
    </row>
    <row r="210" spans="3:15" ht="15.75" customHeight="1">
      <c r="C210" s="9" t="s">
        <v>102</v>
      </c>
      <c r="H210" s="51"/>
      <c r="I210" s="21"/>
      <c r="J210" s="47"/>
      <c r="K210" s="27"/>
      <c r="L210" s="40"/>
      <c r="M210" s="21"/>
      <c r="O210" s="298"/>
    </row>
    <row r="211" spans="3:15" ht="15.75" customHeight="1">
      <c r="C211" s="9" t="s">
        <v>854</v>
      </c>
      <c r="H211" s="51">
        <v>3</v>
      </c>
      <c r="I211" s="21"/>
      <c r="J211" s="47" t="s">
        <v>577</v>
      </c>
      <c r="K211" s="27"/>
      <c r="L211" s="40">
        <f>(H211-J211)</f>
        <v>3</v>
      </c>
      <c r="M211" s="21"/>
      <c r="O211" s="298"/>
    </row>
    <row r="212" spans="3:15" ht="15.75" customHeight="1">
      <c r="C212" s="9"/>
      <c r="H212" s="51"/>
      <c r="I212" s="21"/>
      <c r="J212" s="47"/>
      <c r="K212" s="27"/>
      <c r="L212" s="40"/>
      <c r="M212" s="21"/>
      <c r="O212" s="298"/>
    </row>
    <row r="213" spans="3:15" ht="15.75" customHeight="1">
      <c r="C213" s="9" t="s">
        <v>855</v>
      </c>
      <c r="H213" s="40">
        <v>11415.935</v>
      </c>
      <c r="I213" s="21"/>
      <c r="J213" s="40">
        <v>-2497.548</v>
      </c>
      <c r="K213" s="21"/>
      <c r="L213" s="40">
        <f>(H213+J213)</f>
        <v>8918.386999999999</v>
      </c>
      <c r="M213" s="21"/>
      <c r="O213" s="298"/>
    </row>
    <row r="214" spans="3:15" ht="15.75" customHeight="1">
      <c r="C214" s="9" t="s">
        <v>103</v>
      </c>
      <c r="H214" s="40"/>
      <c r="I214" s="21"/>
      <c r="J214" s="47"/>
      <c r="K214" s="27"/>
      <c r="L214" s="40"/>
      <c r="M214" s="21"/>
      <c r="O214" s="298"/>
    </row>
    <row r="215" spans="3:15" ht="15.75" customHeight="1">
      <c r="C215" s="9" t="s">
        <v>871</v>
      </c>
      <c r="H215" s="40">
        <v>20.738</v>
      </c>
      <c r="I215" s="21"/>
      <c r="J215" s="47" t="s">
        <v>577</v>
      </c>
      <c r="K215" s="27"/>
      <c r="L215" s="40">
        <f>(H215+J215)</f>
        <v>20.738</v>
      </c>
      <c r="M215" s="21"/>
      <c r="O215" s="298"/>
    </row>
    <row r="216" spans="3:15" ht="15.75" customHeight="1">
      <c r="C216" s="9" t="s">
        <v>104</v>
      </c>
      <c r="H216" s="40"/>
      <c r="I216" s="21"/>
      <c r="J216" s="47"/>
      <c r="K216" s="27"/>
      <c r="L216" s="40"/>
      <c r="M216" s="21"/>
      <c r="O216" s="298"/>
    </row>
    <row r="217" spans="3:15" ht="15.75" customHeight="1">
      <c r="C217" s="9" t="s">
        <v>872</v>
      </c>
      <c r="H217" s="51">
        <v>2.04</v>
      </c>
      <c r="I217" s="21"/>
      <c r="J217" s="47" t="s">
        <v>577</v>
      </c>
      <c r="K217" s="27"/>
      <c r="L217" s="40">
        <f>(H217+J217)</f>
        <v>2.04</v>
      </c>
      <c r="M217" s="21"/>
      <c r="O217" s="298"/>
    </row>
    <row r="218" spans="3:15" ht="15.75" customHeight="1">
      <c r="C218" s="9" t="s">
        <v>295</v>
      </c>
      <c r="G218" s="426"/>
      <c r="H218" s="427">
        <v>0.929</v>
      </c>
      <c r="I218" s="21"/>
      <c r="J218" s="47" t="s">
        <v>577</v>
      </c>
      <c r="K218" s="27"/>
      <c r="L218" s="40">
        <f>(H218+J218)</f>
        <v>0.929</v>
      </c>
      <c r="M218" s="21"/>
      <c r="O218" s="298"/>
    </row>
    <row r="219" spans="3:15" ht="15.75" customHeight="1">
      <c r="C219" s="9" t="s">
        <v>693</v>
      </c>
      <c r="H219" s="40">
        <v>2.333</v>
      </c>
      <c r="I219" s="21"/>
      <c r="J219" s="47" t="s">
        <v>577</v>
      </c>
      <c r="K219" s="27"/>
      <c r="L219" s="40">
        <f>(H219+J219)</f>
        <v>2.333</v>
      </c>
      <c r="M219" s="21"/>
      <c r="O219" s="298"/>
    </row>
    <row r="220" spans="3:15" ht="15.75" customHeight="1">
      <c r="C220" s="9" t="s">
        <v>444</v>
      </c>
      <c r="H220" s="40"/>
      <c r="I220" s="21"/>
      <c r="J220" s="47"/>
      <c r="K220" s="27"/>
      <c r="L220" s="40"/>
      <c r="M220" s="21"/>
      <c r="O220" s="298"/>
    </row>
    <row r="221" spans="3:15" ht="15.75" customHeight="1">
      <c r="C221" s="9" t="s">
        <v>131</v>
      </c>
      <c r="H221" s="40">
        <v>2.042</v>
      </c>
      <c r="I221" s="21"/>
      <c r="J221" s="47" t="s">
        <v>577</v>
      </c>
      <c r="K221" s="27"/>
      <c r="L221" s="40">
        <f>(H221+J221)</f>
        <v>2.042</v>
      </c>
      <c r="M221" s="21"/>
      <c r="O221" s="298"/>
    </row>
    <row r="222" spans="3:15" ht="15.75" customHeight="1">
      <c r="C222" s="9" t="s">
        <v>406</v>
      </c>
      <c r="H222" s="40">
        <v>26.654</v>
      </c>
      <c r="I222" s="21"/>
      <c r="J222" s="47" t="s">
        <v>577</v>
      </c>
      <c r="K222" s="27"/>
      <c r="L222" s="40">
        <f>(H222+J222)</f>
        <v>26.654</v>
      </c>
      <c r="M222" s="21"/>
      <c r="O222" s="298"/>
    </row>
    <row r="223" spans="3:15" ht="15.75" customHeight="1">
      <c r="C223" s="9" t="s">
        <v>874</v>
      </c>
      <c r="H223" s="40">
        <v>90.269</v>
      </c>
      <c r="I223" s="21"/>
      <c r="J223" s="47" t="s">
        <v>577</v>
      </c>
      <c r="K223" s="27"/>
      <c r="L223" s="40">
        <f>(H223+J223)</f>
        <v>90.269</v>
      </c>
      <c r="M223" s="21"/>
      <c r="O223" s="298"/>
    </row>
    <row r="224" spans="3:15" ht="15.75" customHeight="1">
      <c r="C224" s="9" t="s">
        <v>456</v>
      </c>
      <c r="H224" s="40">
        <v>7.247</v>
      </c>
      <c r="I224" s="21"/>
      <c r="J224" s="47" t="s">
        <v>577</v>
      </c>
      <c r="K224" s="27"/>
      <c r="L224" s="40">
        <f>(H224+J224)</f>
        <v>7.247</v>
      </c>
      <c r="M224" s="21"/>
      <c r="O224" s="298"/>
    </row>
    <row r="225" spans="8:15" ht="15.75" customHeight="1">
      <c r="H225" s="40"/>
      <c r="I225" s="21"/>
      <c r="J225" s="40"/>
      <c r="K225" s="21"/>
      <c r="L225" s="40"/>
      <c r="M225" s="21"/>
      <c r="O225" s="298"/>
    </row>
    <row r="226" spans="3:15" ht="15.75" customHeight="1">
      <c r="C226" s="9" t="s">
        <v>745</v>
      </c>
      <c r="H226" s="40">
        <v>23.858</v>
      </c>
      <c r="I226" s="21"/>
      <c r="J226" s="47" t="s">
        <v>577</v>
      </c>
      <c r="K226" s="27"/>
      <c r="L226" s="40">
        <f>(H226+J226)</f>
        <v>23.858</v>
      </c>
      <c r="M226" s="21"/>
      <c r="O226" s="298"/>
    </row>
    <row r="227" spans="3:15" ht="15.75" customHeight="1">
      <c r="C227" s="9" t="s">
        <v>105</v>
      </c>
      <c r="H227" s="40">
        <v>11973.895</v>
      </c>
      <c r="I227" s="21"/>
      <c r="J227" s="40">
        <v>-660</v>
      </c>
      <c r="K227" s="27"/>
      <c r="L227" s="40">
        <f>(H227+J227)</f>
        <v>11313.895</v>
      </c>
      <c r="M227" s="21"/>
      <c r="O227" s="298"/>
    </row>
    <row r="228" spans="3:15" ht="15.75" customHeight="1">
      <c r="C228" s="9" t="s">
        <v>106</v>
      </c>
      <c r="H228" s="40"/>
      <c r="I228" s="21"/>
      <c r="J228" s="40"/>
      <c r="K228" s="21"/>
      <c r="L228" s="40"/>
      <c r="M228" s="21"/>
      <c r="O228" s="298"/>
    </row>
    <row r="229" spans="3:15" ht="15.75" customHeight="1">
      <c r="C229" s="9" t="s">
        <v>875</v>
      </c>
      <c r="H229" s="40">
        <v>13.027</v>
      </c>
      <c r="I229" s="21"/>
      <c r="J229" s="47" t="s">
        <v>577</v>
      </c>
      <c r="K229" s="27"/>
      <c r="L229" s="40">
        <f>(H229-J229)</f>
        <v>13.027</v>
      </c>
      <c r="M229" s="21"/>
      <c r="O229" s="298"/>
    </row>
    <row r="230" spans="3:15" ht="15.75" customHeight="1">
      <c r="C230" s="9" t="s">
        <v>371</v>
      </c>
      <c r="H230" s="40">
        <v>365.803</v>
      </c>
      <c r="I230" s="21"/>
      <c r="J230" s="47" t="s">
        <v>577</v>
      </c>
      <c r="K230" s="27"/>
      <c r="L230" s="40">
        <f>(H230-J230)</f>
        <v>365.803</v>
      </c>
      <c r="M230" s="21"/>
      <c r="O230" s="298"/>
    </row>
    <row r="231" spans="3:15" ht="15.75" customHeight="1">
      <c r="C231" s="9" t="s">
        <v>107</v>
      </c>
      <c r="H231" s="51">
        <v>6.535</v>
      </c>
      <c r="I231" s="21"/>
      <c r="J231" s="47" t="s">
        <v>577</v>
      </c>
      <c r="K231" s="27"/>
      <c r="L231" s="40">
        <f>(H231-J231)</f>
        <v>6.535</v>
      </c>
      <c r="M231" s="21"/>
      <c r="O231" s="298"/>
    </row>
    <row r="232" spans="3:15" ht="15.75" customHeight="1">
      <c r="C232" s="9" t="s">
        <v>45</v>
      </c>
      <c r="H232" s="40">
        <v>2449.389</v>
      </c>
      <c r="I232" s="21"/>
      <c r="J232" s="40">
        <v>-440.337</v>
      </c>
      <c r="K232" s="21"/>
      <c r="L232" s="40">
        <f>(H232+J232)</f>
        <v>2009.0520000000001</v>
      </c>
      <c r="M232" s="21"/>
      <c r="O232" s="298"/>
    </row>
    <row r="233" spans="3:15" ht="15.75" customHeight="1">
      <c r="C233" s="9" t="s">
        <v>0</v>
      </c>
      <c r="H233" s="51">
        <v>52.684</v>
      </c>
      <c r="I233" s="21"/>
      <c r="J233" s="47" t="s">
        <v>577</v>
      </c>
      <c r="K233" s="27"/>
      <c r="L233" s="40">
        <f>(H233+J233)</f>
        <v>52.684</v>
      </c>
      <c r="M233" s="21"/>
      <c r="O233" s="298"/>
    </row>
    <row r="234" spans="3:15" ht="15.75" customHeight="1">
      <c r="C234" s="9" t="s">
        <v>2</v>
      </c>
      <c r="H234" s="51">
        <v>188.24</v>
      </c>
      <c r="I234" s="21"/>
      <c r="J234" s="47" t="s">
        <v>577</v>
      </c>
      <c r="K234" s="27"/>
      <c r="L234" s="40">
        <f>(H234+J234)</f>
        <v>188.24</v>
      </c>
      <c r="M234" s="21"/>
      <c r="O234" s="298"/>
    </row>
    <row r="235" spans="3:15" ht="15.75" customHeight="1">
      <c r="C235" s="9"/>
      <c r="H235" s="40"/>
      <c r="I235" s="21"/>
      <c r="J235" s="47"/>
      <c r="K235" s="27"/>
      <c r="L235" s="40"/>
      <c r="M235" s="21"/>
      <c r="O235" s="298"/>
    </row>
    <row r="236" spans="3:15" ht="15.75" customHeight="1">
      <c r="C236" s="9" t="s">
        <v>125</v>
      </c>
      <c r="H236" s="40">
        <v>7.46</v>
      </c>
      <c r="I236" s="21"/>
      <c r="J236" s="47" t="s">
        <v>577</v>
      </c>
      <c r="K236" s="27"/>
      <c r="L236" s="40">
        <f>(H236+J236)</f>
        <v>7.46</v>
      </c>
      <c r="M236" s="21"/>
      <c r="O236" s="298"/>
    </row>
    <row r="237" spans="3:15" ht="15.75" customHeight="1">
      <c r="C237" s="9" t="s">
        <v>127</v>
      </c>
      <c r="H237" s="40">
        <v>81.29</v>
      </c>
      <c r="I237" s="21"/>
      <c r="J237" s="47" t="s">
        <v>577</v>
      </c>
      <c r="K237" s="27"/>
      <c r="L237" s="40">
        <f>(H237+J237)</f>
        <v>81.29</v>
      </c>
      <c r="M237" s="21"/>
      <c r="O237" s="298"/>
    </row>
    <row r="238" spans="3:15" ht="15.75" customHeight="1">
      <c r="C238" s="9" t="s">
        <v>786</v>
      </c>
      <c r="H238" s="40">
        <v>104.121</v>
      </c>
      <c r="I238" s="21"/>
      <c r="J238" s="47" t="s">
        <v>577</v>
      </c>
      <c r="K238" s="27"/>
      <c r="L238" s="40">
        <f>(H238+J238)</f>
        <v>104.121</v>
      </c>
      <c r="M238" s="21"/>
      <c r="O238" s="298"/>
    </row>
    <row r="239" spans="3:15" ht="15.75" customHeight="1">
      <c r="C239" s="9" t="s">
        <v>303</v>
      </c>
      <c r="H239" s="40">
        <v>35.32</v>
      </c>
      <c r="I239" s="21"/>
      <c r="J239" s="47" t="s">
        <v>577</v>
      </c>
      <c r="K239" s="27"/>
      <c r="L239" s="40">
        <f>(H239+J239)</f>
        <v>35.32</v>
      </c>
      <c r="M239" s="21"/>
      <c r="O239" s="298"/>
    </row>
    <row r="240" spans="3:15" ht="15.75" customHeight="1">
      <c r="C240" s="9" t="s">
        <v>3</v>
      </c>
      <c r="H240" s="40">
        <v>62.922</v>
      </c>
      <c r="I240" s="21"/>
      <c r="J240" s="47" t="s">
        <v>577</v>
      </c>
      <c r="K240" s="27"/>
      <c r="L240" s="40">
        <f>(H240+J240)</f>
        <v>62.922</v>
      </c>
      <c r="M240" s="21"/>
      <c r="O240" s="298"/>
    </row>
    <row r="241" spans="3:15" ht="15.75" customHeight="1">
      <c r="C241" s="9"/>
      <c r="H241" s="40"/>
      <c r="I241" s="21"/>
      <c r="J241" s="40"/>
      <c r="K241" s="21"/>
      <c r="L241" s="40" t="s">
        <v>528</v>
      </c>
      <c r="M241" s="21"/>
      <c r="O241" s="298"/>
    </row>
    <row r="242" spans="3:15" ht="15.75" customHeight="1">
      <c r="C242" s="9" t="s">
        <v>143</v>
      </c>
      <c r="H242" s="40">
        <v>76921.956</v>
      </c>
      <c r="I242" s="21"/>
      <c r="J242" s="51">
        <v>-20187.058</v>
      </c>
      <c r="K242" s="192"/>
      <c r="L242" s="40">
        <f aca="true" t="shared" si="4" ref="L242:L247">(H242+J242)</f>
        <v>56734.898</v>
      </c>
      <c r="M242" s="21"/>
      <c r="O242" s="298"/>
    </row>
    <row r="243" spans="3:15" ht="15.75" customHeight="1">
      <c r="C243" s="9" t="s">
        <v>29</v>
      </c>
      <c r="H243" s="40">
        <v>1254.705</v>
      </c>
      <c r="I243" s="21"/>
      <c r="J243" s="47" t="s">
        <v>577</v>
      </c>
      <c r="K243" s="27"/>
      <c r="L243" s="40">
        <f t="shared" si="4"/>
        <v>1254.705</v>
      </c>
      <c r="M243" s="21"/>
      <c r="O243" s="298"/>
    </row>
    <row r="244" spans="3:15" ht="15.75" customHeight="1">
      <c r="C244" s="9" t="s">
        <v>4</v>
      </c>
      <c r="H244" s="40">
        <v>117.827</v>
      </c>
      <c r="I244" s="21"/>
      <c r="J244" s="40">
        <v>-57.204</v>
      </c>
      <c r="K244" s="27"/>
      <c r="L244" s="40">
        <f>(H244+J244)</f>
        <v>60.623</v>
      </c>
      <c r="M244" s="21"/>
      <c r="O244" s="298"/>
    </row>
    <row r="245" spans="3:15" ht="15.75" customHeight="1">
      <c r="C245" s="9" t="s">
        <v>128</v>
      </c>
      <c r="H245" s="40">
        <v>7.051</v>
      </c>
      <c r="I245" s="21"/>
      <c r="J245" s="47" t="s">
        <v>577</v>
      </c>
      <c r="K245" s="27"/>
      <c r="L245" s="40">
        <f t="shared" si="4"/>
        <v>7.051</v>
      </c>
      <c r="M245" s="21"/>
      <c r="O245" s="298"/>
    </row>
    <row r="246" spans="3:15" ht="15.75" customHeight="1">
      <c r="C246" s="9" t="s">
        <v>132</v>
      </c>
      <c r="H246" s="40">
        <v>192.616</v>
      </c>
      <c r="I246" s="21"/>
      <c r="J246" s="47" t="s">
        <v>577</v>
      </c>
      <c r="K246" s="27"/>
      <c r="L246" s="40">
        <f t="shared" si="4"/>
        <v>192.616</v>
      </c>
      <c r="M246" s="21"/>
      <c r="O246" s="298"/>
    </row>
    <row r="247" spans="3:15" ht="15.75" customHeight="1">
      <c r="C247" s="9" t="s">
        <v>139</v>
      </c>
      <c r="H247" s="40">
        <v>3247.322</v>
      </c>
      <c r="I247" s="21"/>
      <c r="J247" s="47" t="s">
        <v>577</v>
      </c>
      <c r="K247" s="27"/>
      <c r="L247" s="40">
        <f t="shared" si="4"/>
        <v>3247.322</v>
      </c>
      <c r="M247" s="21"/>
      <c r="O247" s="298"/>
    </row>
    <row r="248" spans="3:15" ht="15.75" customHeight="1">
      <c r="C248" s="9" t="s">
        <v>141</v>
      </c>
      <c r="H248" s="40">
        <v>131.11</v>
      </c>
      <c r="I248" s="21"/>
      <c r="J248" s="47" t="s">
        <v>577</v>
      </c>
      <c r="K248" s="27"/>
      <c r="L248" s="40">
        <f>(H248-J248)</f>
        <v>131.11</v>
      </c>
      <c r="M248" s="21"/>
      <c r="O248" s="298"/>
    </row>
    <row r="249" spans="8:15" ht="15.75" customHeight="1">
      <c r="H249" s="40"/>
      <c r="I249" s="21"/>
      <c r="J249" s="40"/>
      <c r="K249" s="21"/>
      <c r="L249" s="40"/>
      <c r="M249" s="21"/>
      <c r="O249" s="298"/>
    </row>
    <row r="250" spans="3:15" ht="15.75" customHeight="1">
      <c r="C250" s="9" t="s">
        <v>146</v>
      </c>
      <c r="H250" s="40">
        <v>1784.745</v>
      </c>
      <c r="I250" s="21"/>
      <c r="J250" s="47" t="s">
        <v>577</v>
      </c>
      <c r="K250" s="27"/>
      <c r="L250" s="40">
        <f>(H250+J250)</f>
        <v>1784.745</v>
      </c>
      <c r="M250" s="21"/>
      <c r="O250" s="298"/>
    </row>
    <row r="251" spans="3:15" ht="15.75" customHeight="1">
      <c r="C251" s="9" t="s">
        <v>147</v>
      </c>
      <c r="H251" s="40">
        <v>867.478</v>
      </c>
      <c r="I251" s="21"/>
      <c r="J251" s="51">
        <v>-389.607</v>
      </c>
      <c r="K251" s="27"/>
      <c r="L251" s="40">
        <f>(H251+J251)</f>
        <v>477.8709999999999</v>
      </c>
      <c r="M251" s="21"/>
      <c r="O251" s="298"/>
    </row>
    <row r="252" spans="3:15" ht="15.75" customHeight="1">
      <c r="C252" s="133" t="s">
        <v>148</v>
      </c>
      <c r="H252" s="40"/>
      <c r="I252" s="21"/>
      <c r="J252" s="47"/>
      <c r="K252" s="27"/>
      <c r="L252" s="40"/>
      <c r="M252" s="21"/>
      <c r="O252" s="298"/>
    </row>
    <row r="253" spans="3:15" ht="15.75" customHeight="1">
      <c r="C253" s="9" t="s">
        <v>465</v>
      </c>
      <c r="H253" s="40">
        <v>3083.104</v>
      </c>
      <c r="I253" s="21"/>
      <c r="J253" s="51">
        <v>-1234.052</v>
      </c>
      <c r="K253" s="27"/>
      <c r="L253" s="40">
        <f>(H253+J253)</f>
        <v>1849.052</v>
      </c>
      <c r="M253" s="21"/>
      <c r="O253" s="298"/>
    </row>
    <row r="254" spans="3:15" ht="15.75" customHeight="1">
      <c r="C254" s="133" t="s">
        <v>150</v>
      </c>
      <c r="H254" s="51" t="s">
        <v>761</v>
      </c>
      <c r="I254" s="21"/>
      <c r="J254" s="47" t="s">
        <v>577</v>
      </c>
      <c r="K254" s="27"/>
      <c r="L254" s="51" t="s">
        <v>761</v>
      </c>
      <c r="M254" s="21"/>
      <c r="O254" s="298"/>
    </row>
    <row r="255" spans="3:15" ht="15.75" customHeight="1">
      <c r="C255" s="133" t="s">
        <v>151</v>
      </c>
      <c r="H255" s="40">
        <v>830.656</v>
      </c>
      <c r="I255" s="21"/>
      <c r="J255" s="47" t="s">
        <v>577</v>
      </c>
      <c r="K255" s="27"/>
      <c r="L255" s="40">
        <f>(H255+J255)</f>
        <v>830.656</v>
      </c>
      <c r="M255" s="21"/>
      <c r="O255" s="298"/>
    </row>
    <row r="256" spans="3:15" ht="15.75" customHeight="1">
      <c r="C256" s="9"/>
      <c r="H256" s="40"/>
      <c r="I256" s="21"/>
      <c r="J256" s="47"/>
      <c r="K256" s="27"/>
      <c r="L256" s="40"/>
      <c r="M256" s="21"/>
      <c r="O256" s="298"/>
    </row>
    <row r="257" spans="3:15" ht="15.75" customHeight="1">
      <c r="C257" s="9" t="s">
        <v>152</v>
      </c>
      <c r="H257" s="40">
        <v>35.25</v>
      </c>
      <c r="I257" s="21"/>
      <c r="J257" s="47" t="s">
        <v>577</v>
      </c>
      <c r="K257" s="27"/>
      <c r="L257" s="40">
        <f>(H257-J257)</f>
        <v>35.25</v>
      </c>
      <c r="M257" s="21"/>
      <c r="O257" s="298"/>
    </row>
    <row r="258" spans="2:13" ht="15.75" customHeight="1" thickBot="1">
      <c r="B258" s="78" t="s">
        <v>466</v>
      </c>
      <c r="H258" s="423">
        <f>SUM(H44:H257)+2</f>
        <v>3029511.2920000013</v>
      </c>
      <c r="I258" s="24"/>
      <c r="J258" s="423">
        <f>SUM(J44:J257)-2</f>
        <v>-265475.0500000001</v>
      </c>
      <c r="K258" s="24"/>
      <c r="L258" s="423">
        <f>SUM(L44:L257)+1</f>
        <v>2764036.694000001</v>
      </c>
      <c r="M258" s="24"/>
    </row>
    <row r="259" spans="2:13" ht="15.75" customHeight="1" thickTop="1">
      <c r="B259" s="78"/>
      <c r="H259" s="93"/>
      <c r="I259" s="422"/>
      <c r="J259" s="110"/>
      <c r="K259" s="110"/>
      <c r="L259" s="93"/>
      <c r="M259" s="424"/>
    </row>
    <row r="260" spans="2:13" ht="21.75" customHeight="1" thickBot="1">
      <c r="B260" s="75" t="s">
        <v>513</v>
      </c>
      <c r="C260" s="9"/>
      <c r="H260" s="246">
        <f>H41+H258</f>
        <v>3080140.8120000013</v>
      </c>
      <c r="I260" s="295"/>
      <c r="J260" s="246">
        <f>J41+J258+1</f>
        <v>-265499.6200000001</v>
      </c>
      <c r="K260" s="296"/>
      <c r="L260" s="246">
        <f>L41+L258</f>
        <v>2814640.6440000013</v>
      </c>
      <c r="M260" s="295"/>
    </row>
    <row r="261" spans="2:13" ht="15.75" customHeight="1" thickTop="1">
      <c r="B261" s="75"/>
      <c r="C261" s="9"/>
      <c r="H261" s="282"/>
      <c r="I261" s="282"/>
      <c r="J261" s="282"/>
      <c r="K261" s="283"/>
      <c r="L261" s="284"/>
      <c r="M261" s="282"/>
    </row>
    <row r="262" spans="1:13" ht="18">
      <c r="A262" s="141" t="s">
        <v>442</v>
      </c>
      <c r="B262" s="141"/>
      <c r="C262" s="142"/>
      <c r="D262" s="142"/>
      <c r="E262" s="63"/>
      <c r="F262" s="63"/>
      <c r="G262" s="63"/>
      <c r="H262" s="63"/>
      <c r="I262" s="63"/>
      <c r="J262" s="63"/>
      <c r="K262" s="63"/>
      <c r="L262" s="294"/>
      <c r="M262" s="63"/>
    </row>
    <row r="263" spans="1:13" ht="15">
      <c r="A263" s="78"/>
      <c r="B263" s="143" t="s">
        <v>555</v>
      </c>
      <c r="C263" s="78"/>
      <c r="D263" s="78"/>
      <c r="E263" s="78"/>
      <c r="F263" s="78"/>
      <c r="G263" s="78"/>
      <c r="H263" s="297"/>
      <c r="I263" s="78"/>
      <c r="J263" s="78"/>
      <c r="K263" s="78"/>
      <c r="L263" s="82"/>
      <c r="M263" s="78"/>
    </row>
    <row r="264" spans="1:13" ht="15.75" customHeight="1">
      <c r="A264" s="78"/>
      <c r="B264" s="78"/>
      <c r="C264" s="143" t="s">
        <v>467</v>
      </c>
      <c r="D264" s="78"/>
      <c r="E264" s="78"/>
      <c r="F264" s="78"/>
      <c r="G264" s="78"/>
      <c r="H264" s="78"/>
      <c r="I264" s="78"/>
      <c r="J264" s="78"/>
      <c r="K264" s="167">
        <v>14</v>
      </c>
      <c r="L264" s="145">
        <v>261.425</v>
      </c>
      <c r="M264" s="78"/>
    </row>
    <row r="265" spans="1:13" ht="15.75" customHeight="1">
      <c r="A265" s="78"/>
      <c r="B265" s="78"/>
      <c r="C265" s="143" t="s">
        <v>163</v>
      </c>
      <c r="D265" s="78"/>
      <c r="E265" s="78"/>
      <c r="F265" s="78"/>
      <c r="G265" s="78"/>
      <c r="H265" s="78"/>
      <c r="I265" s="78"/>
      <c r="J265" s="78"/>
      <c r="K265" s="167">
        <v>15</v>
      </c>
      <c r="L265" s="145">
        <v>65.229</v>
      </c>
      <c r="M265" s="78"/>
    </row>
    <row r="266" spans="1:13" ht="15.75" customHeight="1">
      <c r="A266" s="78"/>
      <c r="B266" s="78"/>
      <c r="C266" s="143" t="s">
        <v>468</v>
      </c>
      <c r="D266" s="78"/>
      <c r="E266" s="78"/>
      <c r="F266" s="78"/>
      <c r="G266" s="78"/>
      <c r="H266" s="78"/>
      <c r="I266" s="78"/>
      <c r="J266" s="78"/>
      <c r="K266" s="167">
        <v>16</v>
      </c>
      <c r="L266" s="145">
        <v>180.239</v>
      </c>
      <c r="M266" s="78"/>
    </row>
    <row r="267" spans="1:13" ht="15.75" customHeight="1">
      <c r="A267" s="78"/>
      <c r="B267" s="78"/>
      <c r="C267" s="143" t="s">
        <v>469</v>
      </c>
      <c r="D267" s="78"/>
      <c r="E267" s="78"/>
      <c r="F267" s="78"/>
      <c r="G267" s="78"/>
      <c r="H267" s="78"/>
      <c r="I267" s="78"/>
      <c r="J267" s="78"/>
      <c r="K267" s="146"/>
      <c r="L267" s="145">
        <f>L268-L266-L265-L264</f>
        <v>11.451999999999998</v>
      </c>
      <c r="M267" s="78"/>
    </row>
    <row r="268" spans="1:13" ht="18" customHeight="1" thickBot="1">
      <c r="A268" s="78"/>
      <c r="B268" s="143" t="s">
        <v>470</v>
      </c>
      <c r="C268" s="78"/>
      <c r="D268" s="78"/>
      <c r="E268" s="78"/>
      <c r="F268" s="78"/>
      <c r="G268" s="78"/>
      <c r="H268" s="78"/>
      <c r="I268" s="78"/>
      <c r="J268" s="78"/>
      <c r="K268" s="78"/>
      <c r="L268" s="147">
        <v>518.345</v>
      </c>
      <c r="M268" s="148"/>
    </row>
    <row r="269" spans="1:13" ht="16.5" customHeight="1" thickTop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145"/>
      <c r="M269" s="125"/>
    </row>
    <row r="270" spans="1:13" ht="16.5" customHeight="1">
      <c r="A270" s="78"/>
      <c r="B270" s="143" t="s">
        <v>310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145"/>
      <c r="M270" s="78"/>
    </row>
    <row r="271" spans="1:13" ht="15.75" customHeight="1">
      <c r="A271" s="78"/>
      <c r="B271" s="78"/>
      <c r="C271" s="143" t="s">
        <v>471</v>
      </c>
      <c r="D271" s="78"/>
      <c r="E271" s="78"/>
      <c r="F271" s="78"/>
      <c r="G271" s="78"/>
      <c r="H271" s="78"/>
      <c r="I271" s="78"/>
      <c r="J271" s="78"/>
      <c r="K271" s="167" t="s">
        <v>668</v>
      </c>
      <c r="L271" s="145">
        <v>3394.78</v>
      </c>
      <c r="M271" s="78"/>
    </row>
    <row r="272" spans="1:13" ht="15.75" customHeight="1">
      <c r="A272" s="78"/>
      <c r="B272" s="78"/>
      <c r="C272" s="143" t="s">
        <v>474</v>
      </c>
      <c r="D272" s="78"/>
      <c r="E272" s="78"/>
      <c r="F272" s="78"/>
      <c r="G272" s="78"/>
      <c r="H272" s="78"/>
      <c r="I272" s="78"/>
      <c r="J272" s="78"/>
      <c r="K272" s="146"/>
      <c r="L272" s="145">
        <v>45.058</v>
      </c>
      <c r="M272" s="78"/>
    </row>
    <row r="273" spans="1:13" ht="15.75" customHeight="1">
      <c r="A273" s="78"/>
      <c r="B273" s="78"/>
      <c r="C273" s="143" t="s">
        <v>469</v>
      </c>
      <c r="D273" s="78"/>
      <c r="E273" s="78"/>
      <c r="F273" s="78"/>
      <c r="G273" s="78"/>
      <c r="H273" s="78"/>
      <c r="I273" s="78"/>
      <c r="J273" s="78"/>
      <c r="K273" s="167"/>
      <c r="L273" s="145">
        <f>+L274-L271-L272</f>
        <v>6.364999999999775</v>
      </c>
      <c r="M273" s="78"/>
    </row>
    <row r="274" spans="1:13" ht="18" customHeight="1" thickBot="1">
      <c r="A274" s="78"/>
      <c r="B274" s="143" t="s">
        <v>475</v>
      </c>
      <c r="C274" s="78"/>
      <c r="D274" s="78"/>
      <c r="E274" s="78"/>
      <c r="F274" s="78"/>
      <c r="G274" s="78"/>
      <c r="H274" s="78"/>
      <c r="I274" s="78"/>
      <c r="J274" s="78"/>
      <c r="K274" s="146"/>
      <c r="L274" s="147">
        <v>3446.203</v>
      </c>
      <c r="M274" s="148"/>
    </row>
    <row r="275" spans="1:13" ht="21" customHeight="1" thickBot="1" thickTop="1">
      <c r="A275" s="141" t="s">
        <v>516</v>
      </c>
      <c r="B275" s="141"/>
      <c r="C275" s="142"/>
      <c r="D275" s="142"/>
      <c r="E275" s="187"/>
      <c r="F275" s="187"/>
      <c r="G275" s="187"/>
      <c r="H275" s="187"/>
      <c r="I275" s="187"/>
      <c r="J275" s="187"/>
      <c r="K275" s="249"/>
      <c r="L275" s="112">
        <f>+L268+L274</f>
        <v>3964.548</v>
      </c>
      <c r="M275" s="55"/>
    </row>
    <row r="276" spans="3:13" ht="15.75" customHeight="1" thickTop="1">
      <c r="C276" s="9"/>
      <c r="G276" s="63"/>
      <c r="H276" s="109"/>
      <c r="I276" s="109"/>
      <c r="J276" s="110"/>
      <c r="K276" s="27"/>
      <c r="L276" s="40"/>
      <c r="M276" s="21"/>
    </row>
    <row r="277" spans="1:13" ht="18" customHeight="1" thickBot="1">
      <c r="A277" s="23" t="s">
        <v>476</v>
      </c>
      <c r="B277" s="23"/>
      <c r="H277" s="117"/>
      <c r="I277" s="109"/>
      <c r="J277" s="117"/>
      <c r="K277" s="250"/>
      <c r="L277" s="112">
        <f>SUM(L260,L275,Nonmarketable!O20,Nonmarketable!O28,Nonmarketable!O33,Nonmarketable!O45,Nonmarketable!O64)+2</f>
        <v>3204197.2150000012</v>
      </c>
      <c r="M277" s="172"/>
    </row>
    <row r="278" spans="3:13" ht="15.75" customHeight="1" thickTop="1">
      <c r="C278" s="9"/>
      <c r="G278" s="63"/>
      <c r="H278" s="109"/>
      <c r="I278" s="109"/>
      <c r="J278" s="110"/>
      <c r="K278" s="27"/>
      <c r="L278" s="251"/>
      <c r="M278" s="21"/>
    </row>
    <row r="279" spans="1:13" s="63" customFormat="1" ht="24.75" customHeight="1" thickBot="1">
      <c r="A279" s="388" t="s">
        <v>123</v>
      </c>
      <c r="B279" s="189"/>
      <c r="C279" s="190"/>
      <c r="D279" s="190"/>
      <c r="E279" s="191"/>
      <c r="F279" s="191"/>
      <c r="G279" s="191"/>
      <c r="H279" s="191"/>
      <c r="I279" s="191"/>
      <c r="J279" s="191"/>
      <c r="K279" s="191"/>
      <c r="L279" s="389">
        <f>SUM(Marketable!O293,L277)</f>
        <v>6401377.361000001</v>
      </c>
      <c r="M279" s="131"/>
    </row>
    <row r="280" spans="1:13" ht="16.5" customHeight="1" thickTop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125"/>
      <c r="L280" s="185"/>
      <c r="M280" s="125"/>
    </row>
    <row r="281" spans="1:13" ht="16.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125"/>
      <c r="L281" s="185"/>
      <c r="M281" s="125"/>
    </row>
    <row r="282" spans="1:13" ht="16.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125"/>
      <c r="L282" s="185"/>
      <c r="M282" s="125"/>
    </row>
    <row r="283" spans="1:13" ht="16.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125"/>
      <c r="L283" s="185"/>
      <c r="M283" s="125"/>
    </row>
    <row r="284" spans="1:13" ht="16.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125"/>
      <c r="L284" s="185"/>
      <c r="M284" s="125"/>
    </row>
    <row r="285" spans="1:13" ht="16.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125"/>
      <c r="L285" s="185"/>
      <c r="M285" s="125"/>
    </row>
    <row r="286" spans="1:13" ht="16.5" customHeight="1" thickBo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346"/>
      <c r="M286" s="111"/>
    </row>
    <row r="287" spans="1:13" ht="15.75" customHeight="1" thickTop="1">
      <c r="A287" s="301"/>
      <c r="B287" s="186"/>
      <c r="C287" s="139"/>
      <c r="D287" s="139"/>
      <c r="E287" s="187"/>
      <c r="F287" s="187"/>
      <c r="G287" s="187"/>
      <c r="H287" s="187"/>
      <c r="I287" s="187"/>
      <c r="J287" s="187"/>
      <c r="K287" s="187"/>
      <c r="L287" s="188"/>
      <c r="M287" s="98"/>
    </row>
    <row r="288" spans="1:13" ht="16.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125"/>
      <c r="L288" s="185"/>
      <c r="M288" s="125"/>
    </row>
    <row r="289" spans="1:13" ht="16.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125"/>
      <c r="L289" s="185"/>
      <c r="M289" s="125"/>
    </row>
    <row r="290" spans="1:13" ht="16.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125"/>
      <c r="L290" s="185"/>
      <c r="M290" s="125"/>
    </row>
    <row r="291" spans="1:13" ht="16.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125"/>
      <c r="L291" s="185"/>
      <c r="M291" s="125"/>
    </row>
    <row r="292" spans="1:13" ht="16.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125"/>
      <c r="L292" s="185"/>
      <c r="M292" s="125"/>
    </row>
    <row r="293" spans="1:13" ht="16.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125"/>
      <c r="L293" s="185"/>
      <c r="M293" s="125"/>
    </row>
    <row r="294" spans="1:13" ht="16.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125"/>
      <c r="L294" s="185"/>
      <c r="M294" s="125"/>
    </row>
    <row r="295" spans="1:13" ht="16.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125"/>
      <c r="L295" s="185"/>
      <c r="M295" s="125"/>
    </row>
    <row r="296" spans="1:13" ht="16.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125"/>
      <c r="L296" s="185"/>
      <c r="M296" s="125"/>
    </row>
    <row r="297" spans="1:13" ht="16.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125"/>
      <c r="L297" s="185"/>
      <c r="M297" s="125"/>
    </row>
    <row r="298" spans="1:13" ht="16.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125"/>
      <c r="L298" s="185"/>
      <c r="M298" s="125"/>
    </row>
    <row r="299" spans="1:13" ht="16.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125"/>
      <c r="L299" s="185"/>
      <c r="M299" s="125"/>
    </row>
    <row r="300" spans="1:13" ht="16.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125"/>
      <c r="L300" s="185"/>
      <c r="M300" s="125"/>
    </row>
    <row r="301" spans="1:13" ht="16.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125"/>
      <c r="L301" s="185"/>
      <c r="M301" s="125"/>
    </row>
    <row r="302" spans="1:13" ht="16.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125"/>
      <c r="L302" s="185"/>
      <c r="M302" s="125"/>
    </row>
    <row r="304" s="101" customFormat="1" ht="15.75" thickBot="1"/>
    <row r="305" ht="15.75" thickTop="1"/>
  </sheetData>
  <printOptions horizontalCentered="1"/>
  <pageMargins left="0" right="0" top="0.4" bottom="0.25" header="0" footer="0.18"/>
  <pageSetup fitToHeight="3" horizontalDpi="300" verticalDpi="300" orientation="portrait" scale="40" r:id="rId1"/>
  <rowBreaks count="2" manualBreakCount="2">
    <brk id="96" max="12" man="1"/>
    <brk id="192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2"/>
  <sheetViews>
    <sheetView showGridLines="0" view="pageBreakPreview" zoomScale="75" zoomScaleNormal="80" zoomScaleSheetLayoutView="75" workbookViewId="0" topLeftCell="A173">
      <selection activeCell="A86" sqref="A86:IV86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8" customFormat="1" ht="15.75" customHeight="1">
      <c r="A1" s="421" t="s">
        <v>652</v>
      </c>
      <c r="B1" s="76" t="s">
        <v>543</v>
      </c>
      <c r="C1" s="76"/>
      <c r="D1" s="76"/>
      <c r="E1" s="77"/>
      <c r="F1" s="77"/>
      <c r="G1" s="77"/>
      <c r="H1" s="77"/>
      <c r="I1" s="77"/>
      <c r="J1" s="299"/>
      <c r="K1" s="299"/>
      <c r="L1" s="75"/>
    </row>
    <row r="2" spans="1:12" s="78" customFormat="1" ht="15.75" customHeight="1">
      <c r="A2" s="233"/>
      <c r="B2" s="302" t="s">
        <v>753</v>
      </c>
      <c r="C2" s="76"/>
      <c r="D2" s="76"/>
      <c r="E2" s="77"/>
      <c r="F2" s="77"/>
      <c r="G2" s="77"/>
      <c r="H2" s="77"/>
      <c r="I2" s="77"/>
      <c r="J2" s="299"/>
      <c r="K2" s="299"/>
      <c r="L2" s="75"/>
    </row>
    <row r="3" spans="1:12" s="78" customFormat="1" ht="15.75" customHeight="1">
      <c r="A3" s="303"/>
      <c r="B3" s="302"/>
      <c r="C3" s="304"/>
      <c r="D3" s="304"/>
      <c r="E3" s="304"/>
      <c r="F3" s="304"/>
      <c r="G3" s="304"/>
      <c r="H3" s="304"/>
      <c r="I3" s="304"/>
      <c r="J3" s="305"/>
      <c r="K3" s="304"/>
      <c r="L3" s="306"/>
    </row>
    <row r="4" spans="1:12" s="78" customFormat="1" ht="15.75" customHeight="1">
      <c r="A4" s="307"/>
      <c r="B4" s="307"/>
      <c r="C4" s="307"/>
      <c r="D4" s="308"/>
      <c r="E4" s="396"/>
      <c r="F4" s="393"/>
      <c r="G4" s="309"/>
      <c r="H4" s="308"/>
      <c r="I4" s="309"/>
      <c r="J4" s="310"/>
      <c r="K4" s="306"/>
      <c r="L4" s="306"/>
    </row>
    <row r="5" spans="1:12" s="78" customFormat="1" ht="16.5" customHeight="1">
      <c r="A5" s="77" t="s">
        <v>770</v>
      </c>
      <c r="B5" s="77"/>
      <c r="C5" s="77"/>
      <c r="D5" s="419" t="s">
        <v>122</v>
      </c>
      <c r="E5" s="420" t="s">
        <v>121</v>
      </c>
      <c r="F5" s="397" t="s">
        <v>750</v>
      </c>
      <c r="G5" s="397" t="s">
        <v>558</v>
      </c>
      <c r="H5" s="394" t="s">
        <v>559</v>
      </c>
      <c r="I5" s="384" t="s">
        <v>560</v>
      </c>
      <c r="J5" s="77"/>
      <c r="L5" s="304"/>
    </row>
    <row r="6" spans="1:12" s="78" customFormat="1" ht="15.75" customHeight="1">
      <c r="A6" s="311"/>
      <c r="B6" s="311"/>
      <c r="C6" s="311"/>
      <c r="D6" s="398"/>
      <c r="E6" s="398"/>
      <c r="F6" s="395"/>
      <c r="G6" s="395"/>
      <c r="H6" s="385"/>
      <c r="I6" s="386"/>
      <c r="J6" s="387"/>
      <c r="K6" s="306"/>
      <c r="L6" s="306"/>
    </row>
    <row r="7" spans="1:12" s="78" customFormat="1" ht="21" customHeight="1">
      <c r="A7" s="285" t="s">
        <v>517</v>
      </c>
      <c r="D7" s="401">
        <f>+Summary!F31</f>
        <v>3636977.7960000006</v>
      </c>
      <c r="E7" s="399">
        <v>3378924</v>
      </c>
      <c r="F7" s="399">
        <v>3553180.248</v>
      </c>
      <c r="G7" s="399">
        <v>3339310</v>
      </c>
      <c r="H7" s="414">
        <v>3439322</v>
      </c>
      <c r="I7" s="277">
        <v>3668380</v>
      </c>
      <c r="J7" s="278"/>
      <c r="K7" s="306"/>
      <c r="L7" s="303"/>
    </row>
    <row r="8" spans="1:12" s="78" customFormat="1" ht="21" customHeight="1">
      <c r="A8" s="285" t="s">
        <v>518</v>
      </c>
      <c r="D8" s="276">
        <f>Summary!I31</f>
        <v>2764398.565000001</v>
      </c>
      <c r="E8" s="400">
        <v>2558304</v>
      </c>
      <c r="F8" s="400">
        <v>2675055.718</v>
      </c>
      <c r="G8" s="400">
        <v>2468153</v>
      </c>
      <c r="H8" s="400">
        <v>2234857</v>
      </c>
      <c r="I8" s="276">
        <f>1972891+15000</f>
        <v>1987891</v>
      </c>
      <c r="J8" s="279"/>
      <c r="K8" s="306"/>
      <c r="L8" s="303"/>
    </row>
    <row r="9" spans="1:12" s="78" customFormat="1" ht="21" customHeight="1" thickBot="1">
      <c r="A9" s="286" t="s">
        <v>519</v>
      </c>
      <c r="B9" s="274"/>
      <c r="C9" s="274"/>
      <c r="D9" s="275">
        <f>+Summary!L31</f>
        <v>6401377.361000001</v>
      </c>
      <c r="E9" s="280">
        <f>SUM(E7:E8)+1</f>
        <v>5937229</v>
      </c>
      <c r="F9" s="280">
        <f>SUM(F7:F8)</f>
        <v>6228235.966</v>
      </c>
      <c r="G9" s="280">
        <f>SUM(G7:G8)</f>
        <v>5807463</v>
      </c>
      <c r="H9" s="280">
        <f>SUM(H7:H8)-1</f>
        <v>5674178</v>
      </c>
      <c r="I9" s="275">
        <f>SUM(I7:I8)</f>
        <v>5656271</v>
      </c>
      <c r="J9" s="281"/>
      <c r="K9" s="306"/>
      <c r="L9" s="303"/>
    </row>
    <row r="10" spans="1:12" s="78" customFormat="1" ht="12.75" customHeight="1" thickTop="1">
      <c r="A10" s="291" t="s">
        <v>787</v>
      </c>
      <c r="B10" s="290"/>
      <c r="C10" s="290"/>
      <c r="D10" s="290"/>
      <c r="E10" s="290"/>
      <c r="F10" s="290"/>
      <c r="G10" s="428"/>
      <c r="H10" s="428"/>
      <c r="I10" s="428"/>
      <c r="J10" s="428"/>
      <c r="L10" s="303"/>
    </row>
    <row r="11" spans="1:13" s="78" customFormat="1" ht="28.5" customHeight="1" thickBot="1">
      <c r="A11" s="288" t="s">
        <v>544</v>
      </c>
      <c r="B11" s="288"/>
      <c r="C11" s="288"/>
      <c r="D11" s="288"/>
      <c r="E11" s="289"/>
      <c r="F11" s="289"/>
      <c r="G11" s="289"/>
      <c r="H11" s="289"/>
      <c r="I11" s="289"/>
      <c r="J11" s="288"/>
      <c r="L11" s="306"/>
      <c r="M11" s="143" t="s">
        <v>311</v>
      </c>
    </row>
    <row r="12" spans="1:12" s="78" customFormat="1" ht="15.75" thickTop="1">
      <c r="A12" s="125"/>
      <c r="B12" s="125"/>
      <c r="C12" s="125"/>
      <c r="D12" s="82"/>
      <c r="E12" s="82"/>
      <c r="F12" s="82"/>
      <c r="G12" s="125"/>
      <c r="H12" s="125"/>
      <c r="I12" s="287"/>
      <c r="J12" s="125"/>
      <c r="K12" s="303"/>
      <c r="L12" s="303"/>
    </row>
    <row r="13" spans="4:12" s="78" customFormat="1" ht="14.25" customHeight="1">
      <c r="D13" s="313" t="s">
        <v>314</v>
      </c>
      <c r="E13" s="82"/>
      <c r="F13" s="314" t="s">
        <v>754</v>
      </c>
      <c r="G13" s="77"/>
      <c r="H13" s="77"/>
      <c r="I13" s="287"/>
      <c r="J13" s="303"/>
      <c r="K13" s="303"/>
      <c r="L13" s="303"/>
    </row>
    <row r="14" spans="1:11" s="78" customFormat="1" ht="16.5" customHeight="1">
      <c r="A14" s="77" t="s">
        <v>567</v>
      </c>
      <c r="B14" s="77"/>
      <c r="C14" s="77"/>
      <c r="D14" s="313" t="s">
        <v>315</v>
      </c>
      <c r="E14" s="313" t="s">
        <v>316</v>
      </c>
      <c r="F14" s="82"/>
      <c r="I14" s="315" t="s">
        <v>317</v>
      </c>
      <c r="J14" s="304"/>
      <c r="K14" s="299"/>
    </row>
    <row r="15" spans="4:12" s="78" customFormat="1" ht="15.75" customHeight="1">
      <c r="D15" s="313" t="s">
        <v>321</v>
      </c>
      <c r="E15" s="82"/>
      <c r="F15" s="316" t="s">
        <v>322</v>
      </c>
      <c r="G15" s="316" t="s">
        <v>323</v>
      </c>
      <c r="H15" s="316" t="s">
        <v>323</v>
      </c>
      <c r="I15" s="317" t="s">
        <v>41</v>
      </c>
      <c r="J15" s="66"/>
      <c r="K15" s="125"/>
      <c r="L15" s="125"/>
    </row>
    <row r="16" spans="1:10" s="78" customFormat="1" ht="14.25" customHeight="1">
      <c r="A16" s="83"/>
      <c r="B16" s="83"/>
      <c r="C16" s="83"/>
      <c r="D16" s="84"/>
      <c r="E16" s="84"/>
      <c r="F16" s="318" t="s">
        <v>531</v>
      </c>
      <c r="G16" s="319" t="s">
        <v>324</v>
      </c>
      <c r="H16" s="319" t="s">
        <v>325</v>
      </c>
      <c r="I16" s="320"/>
      <c r="J16" s="312"/>
    </row>
    <row r="17" spans="1:12" s="78" customFormat="1" ht="14.25" customHeight="1">
      <c r="A17" s="125"/>
      <c r="B17" s="125"/>
      <c r="C17" s="125"/>
      <c r="D17" s="82"/>
      <c r="E17" s="82"/>
      <c r="F17" s="321"/>
      <c r="G17" s="313"/>
      <c r="H17" s="313"/>
      <c r="I17" s="85"/>
      <c r="J17" s="306"/>
      <c r="K17" s="299"/>
      <c r="L17" s="299"/>
    </row>
    <row r="18" spans="1:12" s="78" customFormat="1" ht="14.25" customHeight="1">
      <c r="A18" s="143" t="s">
        <v>326</v>
      </c>
      <c r="D18" s="82"/>
      <c r="E18" s="82"/>
      <c r="F18" s="145"/>
      <c r="G18" s="145"/>
      <c r="H18" s="145"/>
      <c r="I18" s="85"/>
      <c r="J18" s="303"/>
      <c r="K18" s="125"/>
      <c r="L18" s="125"/>
    </row>
    <row r="19" spans="1:10" s="78" customFormat="1" ht="13.5" customHeight="1">
      <c r="A19" s="143" t="s">
        <v>575</v>
      </c>
      <c r="C19" s="322" t="s">
        <v>583</v>
      </c>
      <c r="D19" s="82"/>
      <c r="E19" s="82"/>
      <c r="F19" s="145"/>
      <c r="G19" s="145"/>
      <c r="H19" s="145"/>
      <c r="I19" s="85"/>
      <c r="J19" s="303"/>
    </row>
    <row r="20" spans="1:10" s="78" customFormat="1" ht="15.75" customHeight="1">
      <c r="A20" s="323" t="s">
        <v>260</v>
      </c>
      <c r="C20" s="322" t="s">
        <v>644</v>
      </c>
      <c r="D20" s="324" t="s">
        <v>327</v>
      </c>
      <c r="E20" s="325">
        <v>38306</v>
      </c>
      <c r="F20" s="145">
        <v>8301806</v>
      </c>
      <c r="G20" s="145">
        <v>4736988</v>
      </c>
      <c r="H20" s="145">
        <f aca="true" t="shared" si="0" ref="H20:H57">SUM(F20-G20)</f>
        <v>3564818</v>
      </c>
      <c r="I20" s="85">
        <v>1015800</v>
      </c>
      <c r="J20" s="303"/>
    </row>
    <row r="21" spans="1:10" s="78" customFormat="1" ht="15" customHeight="1">
      <c r="A21" s="323" t="s">
        <v>205</v>
      </c>
      <c r="C21" s="322" t="s">
        <v>653</v>
      </c>
      <c r="D21" s="324" t="s">
        <v>328</v>
      </c>
      <c r="E21" s="325">
        <v>38487</v>
      </c>
      <c r="F21" s="145">
        <v>4260758</v>
      </c>
      <c r="G21" s="145">
        <v>2055830</v>
      </c>
      <c r="H21" s="145">
        <f t="shared" si="0"/>
        <v>2204928</v>
      </c>
      <c r="I21" s="85">
        <v>96147</v>
      </c>
      <c r="J21" s="303"/>
    </row>
    <row r="22" spans="1:12" s="78" customFormat="1" ht="15.75" customHeight="1">
      <c r="A22" s="323" t="s">
        <v>206</v>
      </c>
      <c r="C22" s="322" t="s">
        <v>645</v>
      </c>
      <c r="D22" s="324" t="s">
        <v>329</v>
      </c>
      <c r="E22" s="325">
        <v>38579</v>
      </c>
      <c r="F22" s="145">
        <v>9269713</v>
      </c>
      <c r="G22" s="145">
        <v>5781666</v>
      </c>
      <c r="H22" s="145">
        <f t="shared" si="0"/>
        <v>3488047</v>
      </c>
      <c r="I22" s="85">
        <v>38205</v>
      </c>
      <c r="J22" s="303"/>
      <c r="K22" s="299"/>
      <c r="L22" s="77"/>
    </row>
    <row r="23" spans="1:10" s="78" customFormat="1" ht="15" customHeight="1">
      <c r="A23" s="323" t="s">
        <v>261</v>
      </c>
      <c r="C23" s="322" t="s">
        <v>655</v>
      </c>
      <c r="D23" s="324" t="s">
        <v>330</v>
      </c>
      <c r="E23" s="325">
        <v>38763</v>
      </c>
      <c r="F23" s="145">
        <v>4755916</v>
      </c>
      <c r="G23" s="145">
        <v>4238909</v>
      </c>
      <c r="H23" s="145">
        <f t="shared" si="0"/>
        <v>517007</v>
      </c>
      <c r="I23" s="85">
        <v>83040</v>
      </c>
      <c r="J23" s="303"/>
    </row>
    <row r="24" spans="1:12" s="78" customFormat="1" ht="15" customHeight="1">
      <c r="A24" s="323" t="s">
        <v>262</v>
      </c>
      <c r="B24" s="162" t="s">
        <v>528</v>
      </c>
      <c r="C24" s="322" t="s">
        <v>642</v>
      </c>
      <c r="D24" s="324" t="s">
        <v>331</v>
      </c>
      <c r="E24" s="325">
        <v>41958</v>
      </c>
      <c r="F24" s="145">
        <v>5015284</v>
      </c>
      <c r="G24" s="145">
        <v>1794162</v>
      </c>
      <c r="H24" s="145">
        <f t="shared" si="0"/>
        <v>3221122</v>
      </c>
      <c r="I24" s="85">
        <v>0</v>
      </c>
      <c r="J24" s="303"/>
      <c r="K24" s="125"/>
      <c r="L24" s="125"/>
    </row>
    <row r="25" spans="1:10" s="78" customFormat="1" ht="15" customHeight="1">
      <c r="A25" s="323" t="s">
        <v>263</v>
      </c>
      <c r="C25" s="322" t="s">
        <v>660</v>
      </c>
      <c r="D25" s="324" t="s">
        <v>332</v>
      </c>
      <c r="E25" s="325">
        <v>42050</v>
      </c>
      <c r="F25" s="145">
        <v>10520299</v>
      </c>
      <c r="G25" s="145">
        <v>9214259</v>
      </c>
      <c r="H25" s="145">
        <f t="shared" si="0"/>
        <v>1306040</v>
      </c>
      <c r="I25" s="85">
        <v>393560</v>
      </c>
      <c r="J25" s="303"/>
    </row>
    <row r="26" spans="1:10" s="78" customFormat="1" ht="15.75" customHeight="1">
      <c r="A26" s="323" t="s">
        <v>219</v>
      </c>
      <c r="C26" s="322" t="s">
        <v>661</v>
      </c>
      <c r="D26" s="324" t="s">
        <v>333</v>
      </c>
      <c r="E26" s="325">
        <v>42231</v>
      </c>
      <c r="F26" s="145">
        <v>4023916</v>
      </c>
      <c r="G26" s="145">
        <v>3274755</v>
      </c>
      <c r="H26" s="145">
        <f t="shared" si="0"/>
        <v>749161</v>
      </c>
      <c r="I26" s="85">
        <v>127440</v>
      </c>
      <c r="J26" s="303"/>
    </row>
    <row r="27" spans="1:10" s="78" customFormat="1" ht="15" customHeight="1">
      <c r="A27" s="323" t="s">
        <v>220</v>
      </c>
      <c r="C27" s="322" t="s">
        <v>662</v>
      </c>
      <c r="D27" s="324" t="s">
        <v>334</v>
      </c>
      <c r="E27" s="325">
        <v>42323</v>
      </c>
      <c r="F27" s="145">
        <v>5584859</v>
      </c>
      <c r="G27" s="145">
        <v>3173573</v>
      </c>
      <c r="H27" s="145">
        <f t="shared" si="0"/>
        <v>2411286</v>
      </c>
      <c r="I27" s="85">
        <v>102400</v>
      </c>
      <c r="J27" s="303"/>
    </row>
    <row r="28" spans="1:10" s="78" customFormat="1" ht="15" customHeight="1">
      <c r="A28" s="323" t="s">
        <v>221</v>
      </c>
      <c r="C28" s="322" t="s">
        <v>663</v>
      </c>
      <c r="D28" s="324" t="s">
        <v>335</v>
      </c>
      <c r="E28" s="325">
        <v>42415</v>
      </c>
      <c r="F28" s="145">
        <v>5431754</v>
      </c>
      <c r="G28" s="145">
        <v>4923594</v>
      </c>
      <c r="H28" s="145">
        <f t="shared" si="0"/>
        <v>508160</v>
      </c>
      <c r="I28" s="85">
        <v>363200</v>
      </c>
      <c r="J28" s="303"/>
    </row>
    <row r="29" spans="1:10" s="78" customFormat="1" ht="15.75" customHeight="1">
      <c r="A29" s="323" t="s">
        <v>222</v>
      </c>
      <c r="C29" s="322" t="s">
        <v>640</v>
      </c>
      <c r="D29" s="324" t="s">
        <v>336</v>
      </c>
      <c r="E29" s="325">
        <v>42505</v>
      </c>
      <c r="F29" s="145">
        <v>18823551</v>
      </c>
      <c r="G29" s="145">
        <v>18245738</v>
      </c>
      <c r="H29" s="145">
        <f t="shared" si="0"/>
        <v>577813</v>
      </c>
      <c r="I29" s="85">
        <v>125600</v>
      </c>
      <c r="J29" s="303"/>
    </row>
    <row r="30" spans="1:10" s="78" customFormat="1" ht="15" customHeight="1">
      <c r="A30" s="323" t="s">
        <v>264</v>
      </c>
      <c r="C30" s="322" t="s">
        <v>628</v>
      </c>
      <c r="D30" s="324" t="s">
        <v>337</v>
      </c>
      <c r="E30" s="325">
        <v>42689</v>
      </c>
      <c r="F30" s="145">
        <v>18787448</v>
      </c>
      <c r="G30" s="145">
        <v>16745848</v>
      </c>
      <c r="H30" s="145">
        <f t="shared" si="0"/>
        <v>2041600</v>
      </c>
      <c r="I30" s="85">
        <v>177360</v>
      </c>
      <c r="J30" s="303"/>
    </row>
    <row r="31" spans="1:10" s="78" customFormat="1" ht="15" customHeight="1">
      <c r="A31" s="323" t="s">
        <v>224</v>
      </c>
      <c r="C31" s="322" t="s">
        <v>636</v>
      </c>
      <c r="D31" s="324" t="s">
        <v>338</v>
      </c>
      <c r="E31" s="325">
        <v>42870</v>
      </c>
      <c r="F31" s="145">
        <v>15559169</v>
      </c>
      <c r="G31" s="145">
        <v>8763430</v>
      </c>
      <c r="H31" s="145">
        <f t="shared" si="0"/>
        <v>6795739</v>
      </c>
      <c r="I31" s="85">
        <v>546200</v>
      </c>
      <c r="J31" s="303"/>
    </row>
    <row r="32" spans="1:10" s="78" customFormat="1" ht="15.75" customHeight="1">
      <c r="A32" s="323" t="s">
        <v>225</v>
      </c>
      <c r="C32" s="322" t="s">
        <v>594</v>
      </c>
      <c r="D32" s="324" t="s">
        <v>339</v>
      </c>
      <c r="E32" s="325">
        <v>42962</v>
      </c>
      <c r="F32" s="145">
        <v>10968358</v>
      </c>
      <c r="G32" s="145">
        <v>7675143</v>
      </c>
      <c r="H32" s="145">
        <f t="shared" si="0"/>
        <v>3293215</v>
      </c>
      <c r="I32" s="85">
        <v>602200</v>
      </c>
      <c r="J32" s="303"/>
    </row>
    <row r="33" spans="1:10" s="78" customFormat="1" ht="15" customHeight="1">
      <c r="A33" s="323" t="s">
        <v>265</v>
      </c>
      <c r="C33" s="322" t="s">
        <v>610</v>
      </c>
      <c r="D33" s="324" t="s">
        <v>340</v>
      </c>
      <c r="E33" s="325">
        <v>43235</v>
      </c>
      <c r="F33" s="145">
        <v>6717439</v>
      </c>
      <c r="G33" s="145">
        <v>2728538</v>
      </c>
      <c r="H33" s="145">
        <f t="shared" si="0"/>
        <v>3988901</v>
      </c>
      <c r="I33" s="85">
        <v>140800</v>
      </c>
      <c r="J33" s="303"/>
    </row>
    <row r="34" spans="1:10" s="78" customFormat="1" ht="15" customHeight="1">
      <c r="A34" s="323" t="s">
        <v>227</v>
      </c>
      <c r="C34" s="322" t="s">
        <v>664</v>
      </c>
      <c r="D34" s="324" t="s">
        <v>341</v>
      </c>
      <c r="E34" s="325">
        <v>43419</v>
      </c>
      <c r="F34" s="145">
        <v>7174470</v>
      </c>
      <c r="G34" s="145">
        <v>2826994</v>
      </c>
      <c r="H34" s="145">
        <f t="shared" si="0"/>
        <v>4347476</v>
      </c>
      <c r="I34" s="85">
        <v>119900</v>
      </c>
      <c r="J34" s="303"/>
    </row>
    <row r="35" spans="1:10" s="78" customFormat="1" ht="15" customHeight="1">
      <c r="A35" s="323" t="s">
        <v>228</v>
      </c>
      <c r="C35" s="322" t="s">
        <v>594</v>
      </c>
      <c r="D35" s="324" t="s">
        <v>342</v>
      </c>
      <c r="E35" s="325">
        <v>43511</v>
      </c>
      <c r="F35" s="145">
        <v>13090498</v>
      </c>
      <c r="G35" s="145">
        <v>8657383</v>
      </c>
      <c r="H35" s="145">
        <f t="shared" si="0"/>
        <v>4433115</v>
      </c>
      <c r="I35" s="85">
        <v>757200</v>
      </c>
      <c r="J35" s="303"/>
    </row>
    <row r="36" spans="1:10" s="78" customFormat="1" ht="15" customHeight="1">
      <c r="A36" s="323" t="s">
        <v>229</v>
      </c>
      <c r="C36" s="322" t="s">
        <v>669</v>
      </c>
      <c r="D36" s="324" t="s">
        <v>343</v>
      </c>
      <c r="E36" s="325">
        <v>43692</v>
      </c>
      <c r="F36" s="145">
        <v>18940932</v>
      </c>
      <c r="G36" s="145">
        <v>17751232</v>
      </c>
      <c r="H36" s="145">
        <f t="shared" si="0"/>
        <v>1189700</v>
      </c>
      <c r="I36" s="85">
        <v>323720</v>
      </c>
      <c r="J36" s="303"/>
    </row>
    <row r="37" spans="1:10" s="78" customFormat="1" ht="14.25" customHeight="1">
      <c r="A37" s="323" t="s">
        <v>230</v>
      </c>
      <c r="C37" s="322" t="s">
        <v>634</v>
      </c>
      <c r="D37" s="324" t="s">
        <v>344</v>
      </c>
      <c r="E37" s="325">
        <v>43876</v>
      </c>
      <c r="F37" s="145">
        <v>9476268</v>
      </c>
      <c r="G37" s="145">
        <v>6684635</v>
      </c>
      <c r="H37" s="145">
        <f t="shared" si="0"/>
        <v>2791633</v>
      </c>
      <c r="I37" s="85">
        <v>222600</v>
      </c>
      <c r="J37" s="303"/>
    </row>
    <row r="38" spans="1:10" s="78" customFormat="1" ht="15" customHeight="1">
      <c r="A38" s="323" t="s">
        <v>231</v>
      </c>
      <c r="C38" s="322" t="s">
        <v>636</v>
      </c>
      <c r="D38" s="324" t="s">
        <v>345</v>
      </c>
      <c r="E38" s="325">
        <v>43966</v>
      </c>
      <c r="F38" s="145">
        <v>7582183</v>
      </c>
      <c r="G38" s="145">
        <v>3440290</v>
      </c>
      <c r="H38" s="145">
        <f t="shared" si="0"/>
        <v>4141893</v>
      </c>
      <c r="I38" s="85">
        <v>171420</v>
      </c>
      <c r="J38" s="303"/>
    </row>
    <row r="39" spans="1:10" s="78" customFormat="1" ht="15" customHeight="1">
      <c r="A39" s="323" t="s">
        <v>232</v>
      </c>
      <c r="C39" s="322" t="s">
        <v>636</v>
      </c>
      <c r="D39" s="324" t="s">
        <v>346</v>
      </c>
      <c r="E39" s="325">
        <v>44058</v>
      </c>
      <c r="F39" s="145">
        <v>17059306</v>
      </c>
      <c r="G39" s="145">
        <v>8639210</v>
      </c>
      <c r="H39" s="145">
        <f t="shared" si="0"/>
        <v>8420096</v>
      </c>
      <c r="I39" s="85">
        <v>873600</v>
      </c>
      <c r="J39" s="303"/>
    </row>
    <row r="40" spans="1:10" s="78" customFormat="1" ht="15" customHeight="1">
      <c r="A40" s="323" t="s">
        <v>233</v>
      </c>
      <c r="C40" s="322" t="s">
        <v>631</v>
      </c>
      <c r="D40" s="324" t="s">
        <v>350</v>
      </c>
      <c r="E40" s="325">
        <v>44242</v>
      </c>
      <c r="F40" s="145">
        <v>10075573</v>
      </c>
      <c r="G40" s="145">
        <v>8962183</v>
      </c>
      <c r="H40" s="145">
        <f t="shared" si="0"/>
        <v>1113390</v>
      </c>
      <c r="I40" s="85">
        <v>175000</v>
      </c>
      <c r="J40" s="303"/>
    </row>
    <row r="41" spans="1:10" s="78" customFormat="1" ht="15" customHeight="1">
      <c r="A41" s="323" t="s">
        <v>266</v>
      </c>
      <c r="C41" s="322" t="s">
        <v>669</v>
      </c>
      <c r="D41" s="324" t="s">
        <v>351</v>
      </c>
      <c r="E41" s="325">
        <v>44331</v>
      </c>
      <c r="F41" s="145">
        <v>10066788</v>
      </c>
      <c r="G41" s="145">
        <v>5403541</v>
      </c>
      <c r="H41" s="145">
        <f t="shared" si="0"/>
        <v>4663247</v>
      </c>
      <c r="I41" s="85">
        <v>744571</v>
      </c>
      <c r="J41" s="303"/>
    </row>
    <row r="42" spans="1:10" s="78" customFormat="1" ht="15" customHeight="1">
      <c r="A42" s="323" t="s">
        <v>235</v>
      </c>
      <c r="C42" s="322" t="s">
        <v>669</v>
      </c>
      <c r="D42" s="324" t="s">
        <v>352</v>
      </c>
      <c r="E42" s="325">
        <v>44423</v>
      </c>
      <c r="F42" s="145">
        <v>9506382</v>
      </c>
      <c r="G42" s="145">
        <v>7011352</v>
      </c>
      <c r="H42" s="145">
        <f t="shared" si="0"/>
        <v>2495030</v>
      </c>
      <c r="I42" s="85">
        <v>91160</v>
      </c>
      <c r="J42" s="303"/>
    </row>
    <row r="43" spans="1:10" s="78" customFormat="1" ht="15" customHeight="1">
      <c r="A43" s="323" t="s">
        <v>236</v>
      </c>
      <c r="C43" s="322" t="s">
        <v>622</v>
      </c>
      <c r="D43" s="324" t="s">
        <v>353</v>
      </c>
      <c r="E43" s="325">
        <v>44515</v>
      </c>
      <c r="F43" s="145">
        <v>30632194</v>
      </c>
      <c r="G43" s="145">
        <v>15219621</v>
      </c>
      <c r="H43" s="145">
        <f t="shared" si="0"/>
        <v>15412573</v>
      </c>
      <c r="I43" s="85">
        <v>1235700</v>
      </c>
      <c r="J43" s="303"/>
    </row>
    <row r="44" spans="1:10" s="78" customFormat="1" ht="15" customHeight="1">
      <c r="A44" s="323" t="s">
        <v>237</v>
      </c>
      <c r="C44" s="322" t="s">
        <v>640</v>
      </c>
      <c r="D44" s="324" t="s">
        <v>354</v>
      </c>
      <c r="E44" s="325">
        <v>44788</v>
      </c>
      <c r="F44" s="145">
        <v>10127790</v>
      </c>
      <c r="G44" s="145">
        <v>9149780</v>
      </c>
      <c r="H44" s="145">
        <f t="shared" si="0"/>
        <v>978010</v>
      </c>
      <c r="I44" s="85">
        <v>20800</v>
      </c>
      <c r="J44" s="303"/>
    </row>
    <row r="45" spans="1:10" s="78" customFormat="1" ht="15" customHeight="1">
      <c r="A45" s="323" t="s">
        <v>238</v>
      </c>
      <c r="C45" s="322" t="s">
        <v>643</v>
      </c>
      <c r="D45" s="324" t="s">
        <v>357</v>
      </c>
      <c r="E45" s="325">
        <v>44880</v>
      </c>
      <c r="F45" s="145">
        <v>7423626</v>
      </c>
      <c r="G45" s="145">
        <v>3719358</v>
      </c>
      <c r="H45" s="145">
        <f t="shared" si="0"/>
        <v>3704268</v>
      </c>
      <c r="I45" s="85">
        <v>381200</v>
      </c>
      <c r="J45" s="303"/>
    </row>
    <row r="46" spans="1:10" s="78" customFormat="1" ht="15" customHeight="1">
      <c r="A46" s="323" t="s">
        <v>267</v>
      </c>
      <c r="C46" s="322" t="s">
        <v>625</v>
      </c>
      <c r="D46" s="324" t="s">
        <v>358</v>
      </c>
      <c r="E46" s="325">
        <v>44972</v>
      </c>
      <c r="F46" s="145">
        <v>15782061</v>
      </c>
      <c r="G46" s="145">
        <v>10445847</v>
      </c>
      <c r="H46" s="145">
        <v>5336214</v>
      </c>
      <c r="I46" s="85">
        <v>123200</v>
      </c>
      <c r="J46" s="303"/>
    </row>
    <row r="47" spans="1:10" s="78" customFormat="1" ht="15" customHeight="1">
      <c r="A47" s="323" t="s">
        <v>240</v>
      </c>
      <c r="C47" s="322" t="s">
        <v>602</v>
      </c>
      <c r="D47" s="324" t="s">
        <v>359</v>
      </c>
      <c r="E47" s="325">
        <v>45153</v>
      </c>
      <c r="F47" s="145">
        <v>22659044</v>
      </c>
      <c r="G47" s="145">
        <v>19379701</v>
      </c>
      <c r="H47" s="145">
        <f t="shared" si="0"/>
        <v>3279343</v>
      </c>
      <c r="I47" s="85">
        <v>107200</v>
      </c>
      <c r="J47" s="303"/>
    </row>
    <row r="48" spans="1:10" s="78" customFormat="1" ht="15" customHeight="1">
      <c r="A48" s="323" t="s">
        <v>241</v>
      </c>
      <c r="C48" s="322" t="s">
        <v>628</v>
      </c>
      <c r="D48" s="324" t="s">
        <v>360</v>
      </c>
      <c r="E48" s="325">
        <v>45611</v>
      </c>
      <c r="F48" s="145">
        <v>9604162</v>
      </c>
      <c r="G48" s="145">
        <v>3326464</v>
      </c>
      <c r="H48" s="145">
        <f t="shared" si="0"/>
        <v>6277698</v>
      </c>
      <c r="I48" s="85">
        <v>205680</v>
      </c>
      <c r="J48" s="303"/>
    </row>
    <row r="49" spans="1:10" s="78" customFormat="1" ht="15" customHeight="1">
      <c r="A49" s="323" t="s">
        <v>242</v>
      </c>
      <c r="C49" s="322" t="s">
        <v>643</v>
      </c>
      <c r="D49" s="324" t="s">
        <v>361</v>
      </c>
      <c r="E49" s="325">
        <v>45703</v>
      </c>
      <c r="F49" s="145">
        <v>9509170</v>
      </c>
      <c r="G49" s="145">
        <v>3411729</v>
      </c>
      <c r="H49" s="145">
        <f t="shared" si="0"/>
        <v>6097441</v>
      </c>
      <c r="I49" s="85">
        <v>156800</v>
      </c>
      <c r="J49" s="303"/>
    </row>
    <row r="50" spans="1:10" s="78" customFormat="1" ht="15" customHeight="1">
      <c r="A50" s="323" t="s">
        <v>243</v>
      </c>
      <c r="C50" s="322" t="s">
        <v>620</v>
      </c>
      <c r="D50" s="324" t="s">
        <v>362</v>
      </c>
      <c r="E50" s="325">
        <v>45884</v>
      </c>
      <c r="F50" s="145">
        <v>11187207</v>
      </c>
      <c r="G50" s="145">
        <v>6891910</v>
      </c>
      <c r="H50" s="145">
        <f t="shared" si="0"/>
        <v>4295297</v>
      </c>
      <c r="I50" s="85">
        <v>538685</v>
      </c>
      <c r="J50" s="303"/>
    </row>
    <row r="51" spans="1:10" s="78" customFormat="1" ht="15" customHeight="1">
      <c r="A51" s="323" t="s">
        <v>244</v>
      </c>
      <c r="C51" s="322" t="s">
        <v>617</v>
      </c>
      <c r="D51" s="324" t="s">
        <v>363</v>
      </c>
      <c r="E51" s="325">
        <v>46068</v>
      </c>
      <c r="F51" s="145">
        <v>12837916</v>
      </c>
      <c r="G51" s="145">
        <v>11695157</v>
      </c>
      <c r="H51" s="145">
        <f t="shared" si="0"/>
        <v>1142759</v>
      </c>
      <c r="I51" s="85">
        <v>31200</v>
      </c>
      <c r="J51" s="303"/>
    </row>
    <row r="52" spans="1:10" s="78" customFormat="1" ht="15" customHeight="1">
      <c r="A52" s="323" t="s">
        <v>245</v>
      </c>
      <c r="C52" s="326">
        <v>6.75</v>
      </c>
      <c r="D52" s="324" t="s">
        <v>364</v>
      </c>
      <c r="E52" s="325">
        <v>46249</v>
      </c>
      <c r="F52" s="145">
        <v>8810418</v>
      </c>
      <c r="G52" s="145">
        <v>5835975</v>
      </c>
      <c r="H52" s="145">
        <f t="shared" si="0"/>
        <v>2974443</v>
      </c>
      <c r="I52" s="85">
        <v>115540</v>
      </c>
      <c r="J52" s="303"/>
    </row>
    <row r="53" spans="1:10" s="78" customFormat="1" ht="14.25" customHeight="1">
      <c r="A53" s="323" t="s">
        <v>268</v>
      </c>
      <c r="C53" s="322" t="s">
        <v>607</v>
      </c>
      <c r="D53" s="324" t="s">
        <v>365</v>
      </c>
      <c r="E53" s="325">
        <v>46341</v>
      </c>
      <c r="F53" s="145">
        <v>10860177</v>
      </c>
      <c r="G53" s="145">
        <v>4421765</v>
      </c>
      <c r="H53" s="145">
        <f t="shared" si="0"/>
        <v>6438412</v>
      </c>
      <c r="I53" s="85">
        <v>287600</v>
      </c>
      <c r="J53" s="303"/>
    </row>
    <row r="54" spans="1:9" s="78" customFormat="1" ht="15" customHeight="1">
      <c r="A54" s="323" t="s">
        <v>246</v>
      </c>
      <c r="C54" s="327" t="s">
        <v>638</v>
      </c>
      <c r="D54" s="324" t="s">
        <v>366</v>
      </c>
      <c r="E54" s="325">
        <v>46433</v>
      </c>
      <c r="F54" s="145">
        <v>9521971</v>
      </c>
      <c r="G54" s="145">
        <v>5512914</v>
      </c>
      <c r="H54" s="145">
        <f t="shared" si="0"/>
        <v>4009057</v>
      </c>
      <c r="I54" s="85">
        <v>430400</v>
      </c>
    </row>
    <row r="55" spans="1:9" s="78" customFormat="1" ht="15" customHeight="1">
      <c r="A55" s="323" t="s">
        <v>247</v>
      </c>
      <c r="C55" s="327" t="s">
        <v>588</v>
      </c>
      <c r="D55" s="324" t="s">
        <v>367</v>
      </c>
      <c r="E55" s="325">
        <v>46614</v>
      </c>
      <c r="F55" s="145">
        <v>9196756</v>
      </c>
      <c r="G55" s="145">
        <v>6706226</v>
      </c>
      <c r="H55" s="145">
        <f t="shared" si="0"/>
        <v>2490530</v>
      </c>
      <c r="I55" s="85">
        <v>315200</v>
      </c>
    </row>
    <row r="56" spans="1:9" s="78" customFormat="1" ht="14.25" customHeight="1">
      <c r="A56" s="323" t="s">
        <v>248</v>
      </c>
      <c r="C56" s="327" t="s">
        <v>635</v>
      </c>
      <c r="D56" s="324" t="s">
        <v>368</v>
      </c>
      <c r="E56" s="325">
        <v>46706</v>
      </c>
      <c r="F56" s="145">
        <v>22021339</v>
      </c>
      <c r="G56" s="145">
        <v>9248919</v>
      </c>
      <c r="H56" s="145">
        <f t="shared" si="0"/>
        <v>12772420</v>
      </c>
      <c r="I56" s="85">
        <v>483600</v>
      </c>
    </row>
    <row r="57" spans="1:9" s="78" customFormat="1" ht="15" customHeight="1">
      <c r="A57" s="292" t="s">
        <v>249</v>
      </c>
      <c r="C57" s="327" t="s">
        <v>598</v>
      </c>
      <c r="D57" s="328" t="s">
        <v>369</v>
      </c>
      <c r="E57" s="325">
        <v>46980</v>
      </c>
      <c r="F57" s="145">
        <v>11776201</v>
      </c>
      <c r="G57" s="145">
        <v>10496801</v>
      </c>
      <c r="H57" s="145">
        <f t="shared" si="0"/>
        <v>1279400</v>
      </c>
      <c r="I57" s="85">
        <v>47900</v>
      </c>
    </row>
    <row r="58" spans="1:9" s="78" customFormat="1" ht="15" customHeight="1">
      <c r="A58" s="292" t="s">
        <v>250</v>
      </c>
      <c r="C58" s="327" t="s">
        <v>637</v>
      </c>
      <c r="D58" s="328" t="s">
        <v>370</v>
      </c>
      <c r="E58" s="325">
        <v>47072</v>
      </c>
      <c r="F58" s="145">
        <v>10947052</v>
      </c>
      <c r="G58" s="145">
        <v>10118322</v>
      </c>
      <c r="H58" s="145">
        <f>SUM(F58-G58)</f>
        <v>828730</v>
      </c>
      <c r="I58" s="85">
        <v>67400</v>
      </c>
    </row>
    <row r="59" spans="1:10" s="78" customFormat="1" ht="15" customHeight="1">
      <c r="A59" s="292" t="s">
        <v>251</v>
      </c>
      <c r="C59" s="327" t="s">
        <v>637</v>
      </c>
      <c r="D59" s="328" t="s">
        <v>19</v>
      </c>
      <c r="E59" s="325">
        <v>47164</v>
      </c>
      <c r="F59" s="145">
        <v>11350341</v>
      </c>
      <c r="G59" s="145">
        <v>10528745</v>
      </c>
      <c r="H59" s="145">
        <f>SUM(F59-G59)</f>
        <v>821596</v>
      </c>
      <c r="I59" s="85">
        <v>25200</v>
      </c>
      <c r="J59" s="404"/>
    </row>
    <row r="60" spans="1:9" s="78" customFormat="1" ht="15" customHeight="1">
      <c r="A60" s="292" t="s">
        <v>252</v>
      </c>
      <c r="C60" s="327" t="s">
        <v>635</v>
      </c>
      <c r="D60" s="324" t="s">
        <v>153</v>
      </c>
      <c r="E60" s="325">
        <v>47345</v>
      </c>
      <c r="F60" s="145">
        <v>11178580</v>
      </c>
      <c r="G60" s="145">
        <v>10091230</v>
      </c>
      <c r="H60" s="145">
        <f>SUM(F60-G60)</f>
        <v>1087350</v>
      </c>
      <c r="I60" s="85">
        <v>45050</v>
      </c>
    </row>
    <row r="61" spans="1:9" s="78" customFormat="1" ht="15" customHeight="1">
      <c r="A61" s="292" t="s">
        <v>253</v>
      </c>
      <c r="C61" s="322" t="s">
        <v>602</v>
      </c>
      <c r="D61" s="324" t="s">
        <v>308</v>
      </c>
      <c r="E61" s="325">
        <v>47618</v>
      </c>
      <c r="F61" s="145">
        <v>17043162</v>
      </c>
      <c r="G61" s="145">
        <v>16176278</v>
      </c>
      <c r="H61" s="145">
        <f>SUM(F61-G61)</f>
        <v>866884</v>
      </c>
      <c r="I61" s="85">
        <v>67572</v>
      </c>
    </row>
    <row r="62" spans="1:9" s="78" customFormat="1" ht="15" customHeight="1">
      <c r="A62" s="323" t="s">
        <v>159</v>
      </c>
      <c r="C62" s="327" t="s">
        <v>633</v>
      </c>
      <c r="D62" s="324" t="s">
        <v>273</v>
      </c>
      <c r="E62" s="325">
        <v>47894</v>
      </c>
      <c r="F62" s="145">
        <v>16427648</v>
      </c>
      <c r="G62" s="145">
        <v>16212248</v>
      </c>
      <c r="H62" s="145">
        <f>SUM(F62-G62)</f>
        <v>215400</v>
      </c>
      <c r="I62" s="85">
        <v>0</v>
      </c>
    </row>
    <row r="63" spans="4:9" s="78" customFormat="1" ht="14.25" customHeight="1">
      <c r="D63" s="329"/>
      <c r="E63" s="330"/>
      <c r="F63" s="329"/>
      <c r="G63" s="329"/>
      <c r="H63" s="329"/>
      <c r="I63" s="85"/>
    </row>
    <row r="64" spans="1:9" s="78" customFormat="1" ht="15" customHeight="1">
      <c r="A64" s="299" t="s">
        <v>478</v>
      </c>
      <c r="B64" s="322"/>
      <c r="C64" s="327"/>
      <c r="D64" s="324" t="s">
        <v>528</v>
      </c>
      <c r="E64" s="331"/>
      <c r="F64" s="145">
        <f>SUM(F20:F63)</f>
        <v>499889485</v>
      </c>
      <c r="G64" s="145">
        <f>SUM(G20:G63)</f>
        <v>351318243</v>
      </c>
      <c r="H64" s="145">
        <f>SUM(H20:H63)</f>
        <v>148571242</v>
      </c>
      <c r="I64" s="85">
        <f>SUM(I20:I63)</f>
        <v>11977050</v>
      </c>
    </row>
    <row r="65" spans="1:9" s="78" customFormat="1" ht="12.75" customHeight="1">
      <c r="A65" s="299"/>
      <c r="B65" s="322"/>
      <c r="C65" s="327"/>
      <c r="D65" s="332"/>
      <c r="E65" s="333"/>
      <c r="F65" s="334"/>
      <c r="G65" s="334"/>
      <c r="H65" s="334"/>
      <c r="I65" s="85"/>
    </row>
    <row r="66" spans="1:10" s="78" customFormat="1" ht="14.25" customHeight="1">
      <c r="A66" s="143" t="s">
        <v>670</v>
      </c>
      <c r="D66" s="82"/>
      <c r="E66" s="335"/>
      <c r="F66" s="145"/>
      <c r="G66" s="145"/>
      <c r="H66" s="145"/>
      <c r="I66" s="85"/>
      <c r="J66" s="303"/>
    </row>
    <row r="67" spans="1:10" s="78" customFormat="1" ht="15" customHeight="1">
      <c r="A67" s="143" t="s">
        <v>575</v>
      </c>
      <c r="B67" s="77" t="s">
        <v>582</v>
      </c>
      <c r="C67" s="322" t="s">
        <v>583</v>
      </c>
      <c r="D67" s="82"/>
      <c r="E67" s="335"/>
      <c r="F67" s="145"/>
      <c r="G67" s="145"/>
      <c r="H67" s="145"/>
      <c r="I67" s="85"/>
      <c r="J67" s="303"/>
    </row>
    <row r="68" spans="1:9" s="78" customFormat="1" ht="15" customHeight="1">
      <c r="A68" s="323" t="s">
        <v>814</v>
      </c>
      <c r="B68" s="322" t="s">
        <v>593</v>
      </c>
      <c r="C68" s="327" t="s">
        <v>672</v>
      </c>
      <c r="D68" s="324" t="s">
        <v>813</v>
      </c>
      <c r="E68" s="325">
        <v>39097</v>
      </c>
      <c r="F68" s="145">
        <v>18032004</v>
      </c>
      <c r="G68" s="145">
        <v>18032004</v>
      </c>
      <c r="H68" s="145">
        <f aca="true" t="shared" si="1" ref="H68:H74">SUM(F68-G68)</f>
        <v>0</v>
      </c>
      <c r="I68" s="85">
        <v>0</v>
      </c>
    </row>
    <row r="69" spans="1:9" s="78" customFormat="1" ht="15" customHeight="1">
      <c r="A69" s="323" t="s">
        <v>254</v>
      </c>
      <c r="B69" s="322" t="s">
        <v>593</v>
      </c>
      <c r="C69" s="327" t="s">
        <v>671</v>
      </c>
      <c r="D69" s="324" t="s">
        <v>398</v>
      </c>
      <c r="E69" s="331">
        <v>39462</v>
      </c>
      <c r="F69" s="145">
        <v>18866258</v>
      </c>
      <c r="G69" s="145">
        <v>18754036</v>
      </c>
      <c r="H69" s="145">
        <f t="shared" si="1"/>
        <v>112222</v>
      </c>
      <c r="I69" s="85">
        <v>0</v>
      </c>
    </row>
    <row r="70" spans="1:9" s="78" customFormat="1" ht="15" customHeight="1">
      <c r="A70" s="323" t="s">
        <v>255</v>
      </c>
      <c r="B70" s="322" t="s">
        <v>593</v>
      </c>
      <c r="C70" s="327" t="s">
        <v>312</v>
      </c>
      <c r="D70" s="324" t="s">
        <v>313</v>
      </c>
      <c r="E70" s="331">
        <v>39828</v>
      </c>
      <c r="F70" s="145">
        <v>17579941</v>
      </c>
      <c r="G70" s="145">
        <v>17579941</v>
      </c>
      <c r="H70" s="145">
        <f t="shared" si="1"/>
        <v>0</v>
      </c>
      <c r="I70" s="85">
        <v>0</v>
      </c>
    </row>
    <row r="71" spans="1:9" s="78" customFormat="1" ht="15" customHeight="1">
      <c r="A71" s="323" t="s">
        <v>256</v>
      </c>
      <c r="B71" s="322" t="s">
        <v>593</v>
      </c>
      <c r="C71" s="327" t="s">
        <v>639</v>
      </c>
      <c r="D71" s="324" t="s">
        <v>536</v>
      </c>
      <c r="E71" s="331">
        <v>40193</v>
      </c>
      <c r="F71" s="145">
        <v>12199357</v>
      </c>
      <c r="G71" s="145">
        <v>12199357</v>
      </c>
      <c r="H71" s="145">
        <f t="shared" si="1"/>
        <v>0</v>
      </c>
      <c r="I71" s="85">
        <v>0</v>
      </c>
    </row>
    <row r="72" spans="1:9" s="78" customFormat="1" ht="15" customHeight="1">
      <c r="A72" s="323" t="s">
        <v>679</v>
      </c>
      <c r="B72" s="322" t="s">
        <v>593</v>
      </c>
      <c r="C72" s="327" t="s">
        <v>680</v>
      </c>
      <c r="D72" s="324" t="s">
        <v>760</v>
      </c>
      <c r="E72" s="331">
        <v>40558</v>
      </c>
      <c r="F72" s="145">
        <v>11459559</v>
      </c>
      <c r="G72" s="145">
        <v>11459559</v>
      </c>
      <c r="H72" s="145">
        <f t="shared" si="1"/>
        <v>0</v>
      </c>
      <c r="I72" s="85">
        <v>0</v>
      </c>
    </row>
    <row r="73" spans="1:9" s="78" customFormat="1" ht="15" customHeight="1">
      <c r="A73" s="323" t="s">
        <v>72</v>
      </c>
      <c r="B73" s="322" t="s">
        <v>593</v>
      </c>
      <c r="C73" s="327" t="s">
        <v>672</v>
      </c>
      <c r="D73" s="324" t="s">
        <v>75</v>
      </c>
      <c r="E73" s="331">
        <v>40923</v>
      </c>
      <c r="F73" s="145">
        <v>6130613</v>
      </c>
      <c r="G73" s="145">
        <v>6130613</v>
      </c>
      <c r="H73" s="145">
        <f>SUM(F73-G73)</f>
        <v>0</v>
      </c>
      <c r="I73" s="85">
        <v>0</v>
      </c>
    </row>
    <row r="74" spans="1:9" s="78" customFormat="1" ht="15" customHeight="1">
      <c r="A74" s="323" t="s">
        <v>864</v>
      </c>
      <c r="B74" s="322" t="s">
        <v>621</v>
      </c>
      <c r="C74" s="327">
        <v>3</v>
      </c>
      <c r="D74" s="324" t="s">
        <v>818</v>
      </c>
      <c r="E74" s="331">
        <v>41105</v>
      </c>
      <c r="F74" s="145">
        <v>23209856</v>
      </c>
      <c r="G74" s="145">
        <v>23209856</v>
      </c>
      <c r="H74" s="145">
        <f t="shared" si="1"/>
        <v>0</v>
      </c>
      <c r="I74" s="85">
        <v>0</v>
      </c>
    </row>
    <row r="75" spans="1:9" s="78" customFormat="1" ht="15" customHeight="1">
      <c r="A75" s="323"/>
      <c r="B75" s="322"/>
      <c r="C75" s="327"/>
      <c r="D75" s="324"/>
      <c r="E75" s="331"/>
      <c r="F75" s="145"/>
      <c r="G75" s="145"/>
      <c r="H75" s="145"/>
      <c r="I75" s="85"/>
    </row>
    <row r="76" spans="1:9" s="78" customFormat="1" ht="15" customHeight="1">
      <c r="A76" s="299" t="s">
        <v>479</v>
      </c>
      <c r="B76" s="322"/>
      <c r="C76" s="327"/>
      <c r="D76" s="324" t="s">
        <v>528</v>
      </c>
      <c r="E76" s="331"/>
      <c r="F76" s="145">
        <f>SUM(F68:F75)-1</f>
        <v>107477587</v>
      </c>
      <c r="G76" s="145">
        <f>SUM(G68:G75)-1</f>
        <v>107365365</v>
      </c>
      <c r="H76" s="145">
        <f>SUM(H68:H75)</f>
        <v>112222</v>
      </c>
      <c r="I76" s="85">
        <v>0</v>
      </c>
    </row>
    <row r="77" spans="1:9" s="78" customFormat="1" ht="15" customHeight="1">
      <c r="A77" s="299"/>
      <c r="B77" s="322"/>
      <c r="C77" s="327"/>
      <c r="D77" s="324"/>
      <c r="E77" s="331"/>
      <c r="F77" s="145"/>
      <c r="G77" s="145"/>
      <c r="H77" s="145"/>
      <c r="I77" s="85"/>
    </row>
    <row r="78" spans="1:9" s="78" customFormat="1" ht="15" customHeight="1">
      <c r="A78" s="143" t="s">
        <v>673</v>
      </c>
      <c r="D78" s="82"/>
      <c r="E78" s="335"/>
      <c r="F78" s="145"/>
      <c r="G78" s="145"/>
      <c r="H78" s="145"/>
      <c r="I78" s="85"/>
    </row>
    <row r="79" spans="1:9" s="78" customFormat="1" ht="15" customHeight="1">
      <c r="A79" s="143" t="s">
        <v>575</v>
      </c>
      <c r="B79" s="77"/>
      <c r="C79" s="322" t="s">
        <v>583</v>
      </c>
      <c r="D79" s="82"/>
      <c r="E79" s="335"/>
      <c r="F79" s="145"/>
      <c r="G79" s="145"/>
      <c r="H79" s="145"/>
      <c r="I79" s="85"/>
    </row>
    <row r="80" spans="1:9" s="78" customFormat="1" ht="15" customHeight="1">
      <c r="A80" s="323" t="s">
        <v>257</v>
      </c>
      <c r="B80" s="322"/>
      <c r="C80" s="327" t="s">
        <v>671</v>
      </c>
      <c r="D80" s="324" t="s">
        <v>399</v>
      </c>
      <c r="E80" s="325">
        <v>46858</v>
      </c>
      <c r="F80" s="145">
        <v>18813104</v>
      </c>
      <c r="G80" s="145">
        <v>18807499</v>
      </c>
      <c r="H80" s="145">
        <f>SUM(F80-G80)</f>
        <v>5605</v>
      </c>
      <c r="I80" s="85">
        <v>0</v>
      </c>
    </row>
    <row r="81" spans="1:9" s="78" customFormat="1" ht="15" customHeight="1">
      <c r="A81" s="323" t="s">
        <v>258</v>
      </c>
      <c r="B81" s="322"/>
      <c r="C81" s="327" t="s">
        <v>312</v>
      </c>
      <c r="D81" s="324" t="s">
        <v>532</v>
      </c>
      <c r="E81" s="325">
        <v>47223</v>
      </c>
      <c r="F81" s="145">
        <v>21501966</v>
      </c>
      <c r="G81" s="145">
        <v>21364111</v>
      </c>
      <c r="H81" s="145">
        <f>SUM(F81-G81)</f>
        <v>137855</v>
      </c>
      <c r="I81" s="85">
        <v>0</v>
      </c>
    </row>
    <row r="82" spans="1:9" s="78" customFormat="1" ht="15" customHeight="1">
      <c r="A82" s="323" t="s">
        <v>731</v>
      </c>
      <c r="B82" s="322"/>
      <c r="C82" s="347" t="s">
        <v>672</v>
      </c>
      <c r="D82" s="324" t="s">
        <v>732</v>
      </c>
      <c r="E82" s="325">
        <v>48319</v>
      </c>
      <c r="F82" s="145">
        <v>5119547</v>
      </c>
      <c r="G82" s="145">
        <v>5119547</v>
      </c>
      <c r="H82" s="145">
        <f>SUM(F82-G82)</f>
        <v>0</v>
      </c>
      <c r="I82" s="85">
        <v>0</v>
      </c>
    </row>
    <row r="83" spans="1:9" s="78" customFormat="1" ht="15" customHeight="1">
      <c r="A83" s="323"/>
      <c r="B83" s="322"/>
      <c r="C83" s="327"/>
      <c r="D83" s="324"/>
      <c r="E83" s="336"/>
      <c r="F83" s="145"/>
      <c r="G83" s="145"/>
      <c r="H83" s="145"/>
      <c r="I83" s="85"/>
    </row>
    <row r="84" spans="1:9" s="78" customFormat="1" ht="15" customHeight="1">
      <c r="A84" s="299" t="s">
        <v>400</v>
      </c>
      <c r="B84" s="322"/>
      <c r="C84" s="327"/>
      <c r="D84" s="324" t="s">
        <v>528</v>
      </c>
      <c r="E84" s="337"/>
      <c r="F84" s="145">
        <f>SUM(F78:F82)</f>
        <v>45434617</v>
      </c>
      <c r="G84" s="145">
        <f>SUM(G78:G82)</f>
        <v>45291157</v>
      </c>
      <c r="H84" s="338">
        <f>SUM(H77:H82)</f>
        <v>143460</v>
      </c>
      <c r="I84" s="85">
        <f>SUM(I80:I82)</f>
        <v>0</v>
      </c>
    </row>
    <row r="85" spans="1:9" s="78" customFormat="1" ht="15" customHeight="1">
      <c r="A85" s="299"/>
      <c r="B85" s="322"/>
      <c r="C85" s="327"/>
      <c r="D85" s="339"/>
      <c r="E85" s="340"/>
      <c r="F85" s="185"/>
      <c r="G85" s="185"/>
      <c r="H85" s="185"/>
      <c r="I85" s="185"/>
    </row>
    <row r="86" spans="1:9" s="78" customFormat="1" ht="15" customHeight="1">
      <c r="A86" s="299"/>
      <c r="B86" s="322"/>
      <c r="C86" s="327"/>
      <c r="D86" s="339"/>
      <c r="E86" s="340"/>
      <c r="F86" s="185"/>
      <c r="G86" s="185"/>
      <c r="H86" s="185"/>
      <c r="I86" s="185"/>
    </row>
    <row r="87" spans="1:9" s="111" customFormat="1" ht="15" customHeight="1" thickBot="1">
      <c r="A87" s="341"/>
      <c r="B87" s="342"/>
      <c r="C87" s="343"/>
      <c r="D87" s="344"/>
      <c r="E87" s="345"/>
      <c r="F87" s="346"/>
      <c r="G87" s="346"/>
      <c r="H87" s="346"/>
      <c r="I87" s="346"/>
    </row>
    <row r="88" spans="1:10" s="78" customFormat="1" ht="16.5" thickTop="1">
      <c r="A88" s="75"/>
      <c r="B88" s="76" t="s">
        <v>545</v>
      </c>
      <c r="C88" s="76"/>
      <c r="D88" s="76"/>
      <c r="E88" s="77"/>
      <c r="F88" s="77"/>
      <c r="G88" s="77"/>
      <c r="H88" s="77"/>
      <c r="I88" s="77"/>
      <c r="J88" s="75">
        <v>11</v>
      </c>
    </row>
    <row r="89" spans="1:10" s="78" customFormat="1" ht="10.5" customHeight="1" thickBo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s="78" customFormat="1" ht="15" customHeight="1" thickTop="1">
      <c r="A90" s="79"/>
      <c r="B90" s="79"/>
      <c r="C90" s="79"/>
      <c r="D90" s="80"/>
      <c r="E90" s="80"/>
      <c r="F90" s="80"/>
      <c r="G90" s="79"/>
      <c r="H90" s="79"/>
      <c r="I90" s="81"/>
      <c r="J90" s="79"/>
    </row>
    <row r="91" spans="4:10" s="78" customFormat="1" ht="15" customHeight="1">
      <c r="D91" s="313" t="s">
        <v>314</v>
      </c>
      <c r="E91" s="82"/>
      <c r="F91" s="314" t="s">
        <v>754</v>
      </c>
      <c r="G91" s="77"/>
      <c r="H91" s="77"/>
      <c r="I91" s="287"/>
      <c r="J91" s="303"/>
    </row>
    <row r="92" spans="1:10" s="78" customFormat="1" ht="15" customHeight="1">
      <c r="A92" s="77" t="s">
        <v>567</v>
      </c>
      <c r="B92" s="77"/>
      <c r="C92" s="77"/>
      <c r="D92" s="313" t="s">
        <v>315</v>
      </c>
      <c r="E92" s="313" t="s">
        <v>316</v>
      </c>
      <c r="F92" s="82"/>
      <c r="I92" s="315" t="s">
        <v>317</v>
      </c>
      <c r="J92" s="304"/>
    </row>
    <row r="93" spans="4:10" s="78" customFormat="1" ht="15" customHeight="1">
      <c r="D93" s="313" t="s">
        <v>321</v>
      </c>
      <c r="E93" s="82"/>
      <c r="F93" s="316" t="s">
        <v>322</v>
      </c>
      <c r="G93" s="316" t="s">
        <v>323</v>
      </c>
      <c r="H93" s="316" t="s">
        <v>323</v>
      </c>
      <c r="I93" s="317" t="s">
        <v>42</v>
      </c>
      <c r="J93" s="66"/>
    </row>
    <row r="94" spans="1:10" s="78" customFormat="1" ht="15" customHeight="1">
      <c r="A94" s="83"/>
      <c r="B94" s="83"/>
      <c r="C94" s="83"/>
      <c r="D94" s="84"/>
      <c r="E94" s="84"/>
      <c r="F94" s="318" t="s">
        <v>531</v>
      </c>
      <c r="G94" s="319" t="s">
        <v>324</v>
      </c>
      <c r="H94" s="319" t="s">
        <v>325</v>
      </c>
      <c r="I94" s="320"/>
      <c r="J94" s="312"/>
    </row>
    <row r="95" spans="1:10" s="78" customFormat="1" ht="14.25" customHeight="1">
      <c r="A95" s="125"/>
      <c r="B95" s="125"/>
      <c r="C95" s="125"/>
      <c r="D95" s="82"/>
      <c r="E95" s="82"/>
      <c r="F95" s="321"/>
      <c r="G95" s="313"/>
      <c r="H95" s="313"/>
      <c r="I95" s="85"/>
      <c r="J95" s="306"/>
    </row>
    <row r="96" spans="1:10" s="78" customFormat="1" ht="14.25" customHeight="1">
      <c r="A96" s="143" t="s">
        <v>581</v>
      </c>
      <c r="D96" s="82"/>
      <c r="E96" s="82"/>
      <c r="F96" s="82"/>
      <c r="G96" s="82"/>
      <c r="H96" s="82"/>
      <c r="I96" s="85"/>
      <c r="J96" s="303"/>
    </row>
    <row r="97" spans="1:10" s="78" customFormat="1" ht="15" customHeight="1">
      <c r="A97" s="143" t="s">
        <v>575</v>
      </c>
      <c r="B97" s="77" t="s">
        <v>582</v>
      </c>
      <c r="C97" s="322" t="s">
        <v>583</v>
      </c>
      <c r="D97" s="82"/>
      <c r="E97" s="82"/>
      <c r="F97" s="82"/>
      <c r="G97" s="82"/>
      <c r="H97" s="82"/>
      <c r="I97" s="85"/>
      <c r="J97" s="303"/>
    </row>
    <row r="98" spans="1:9" s="78" customFormat="1" ht="14.25" customHeight="1">
      <c r="A98" s="323" t="s">
        <v>111</v>
      </c>
      <c r="B98" s="322" t="s">
        <v>593</v>
      </c>
      <c r="C98" s="322" t="s">
        <v>602</v>
      </c>
      <c r="D98" s="324" t="s">
        <v>838</v>
      </c>
      <c r="E98" s="325">
        <v>37667</v>
      </c>
      <c r="F98" s="145">
        <v>23562691</v>
      </c>
      <c r="G98" s="145">
        <v>21568365</v>
      </c>
      <c r="H98" s="145">
        <f>SUM(F98-G98)</f>
        <v>1994326</v>
      </c>
      <c r="I98" s="85">
        <v>324792</v>
      </c>
    </row>
    <row r="99" spans="1:9" s="78" customFormat="1" ht="14.25" customHeight="1">
      <c r="A99" s="323" t="s">
        <v>269</v>
      </c>
      <c r="B99" s="322" t="s">
        <v>630</v>
      </c>
      <c r="C99" s="327" t="s">
        <v>598</v>
      </c>
      <c r="D99" s="324" t="s">
        <v>372</v>
      </c>
      <c r="E99" s="325">
        <v>37680</v>
      </c>
      <c r="F99" s="145">
        <v>13670354</v>
      </c>
      <c r="G99" s="145">
        <v>13623154</v>
      </c>
      <c r="H99" s="145">
        <f>SUM(F99-G99)</f>
        <v>47200</v>
      </c>
      <c r="I99" s="85">
        <v>0</v>
      </c>
    </row>
    <row r="100" spans="1:9" s="78" customFormat="1" ht="14.25" customHeight="1">
      <c r="A100" s="323" t="s">
        <v>100</v>
      </c>
      <c r="B100" s="322" t="s">
        <v>606</v>
      </c>
      <c r="C100" s="327" t="s">
        <v>140</v>
      </c>
      <c r="D100" s="324" t="s">
        <v>101</v>
      </c>
      <c r="E100" s="325">
        <v>37680</v>
      </c>
      <c r="F100" s="145">
        <v>14685095</v>
      </c>
      <c r="G100" s="145">
        <v>14278695</v>
      </c>
      <c r="H100" s="145">
        <f>SUM(F100-G100)</f>
        <v>406400</v>
      </c>
      <c r="I100" s="85">
        <v>0</v>
      </c>
    </row>
    <row r="101" spans="1:9" s="78" customFormat="1" ht="14.25" customHeight="1">
      <c r="A101" s="323" t="s">
        <v>165</v>
      </c>
      <c r="B101" s="322" t="s">
        <v>587</v>
      </c>
      <c r="C101" s="327" t="s">
        <v>598</v>
      </c>
      <c r="D101" s="324" t="s">
        <v>373</v>
      </c>
      <c r="E101" s="325">
        <v>37711</v>
      </c>
      <c r="F101" s="145">
        <v>14172892</v>
      </c>
      <c r="G101" s="145">
        <v>14132092</v>
      </c>
      <c r="H101" s="145">
        <f aca="true" t="shared" si="2" ref="H101:H111">SUM(F101-G101)</f>
        <v>40800</v>
      </c>
      <c r="I101" s="85">
        <v>0</v>
      </c>
    </row>
    <row r="102" spans="1:9" s="78" customFormat="1" ht="14.25" customHeight="1">
      <c r="A102" s="323" t="s">
        <v>460</v>
      </c>
      <c r="B102" s="322" t="s">
        <v>613</v>
      </c>
      <c r="C102" s="327" t="s">
        <v>639</v>
      </c>
      <c r="D102" s="324" t="s">
        <v>156</v>
      </c>
      <c r="E102" s="325">
        <v>37711</v>
      </c>
      <c r="F102" s="145">
        <v>14674853</v>
      </c>
      <c r="G102" s="145">
        <v>14674853</v>
      </c>
      <c r="H102" s="145">
        <f>SUM(F102-G102)</f>
        <v>0</v>
      </c>
      <c r="I102" s="85">
        <v>0</v>
      </c>
    </row>
    <row r="103" spans="1:9" s="78" customFormat="1" ht="14.25" customHeight="1">
      <c r="A103" s="323" t="s">
        <v>166</v>
      </c>
      <c r="B103" s="322" t="s">
        <v>603</v>
      </c>
      <c r="C103" s="327" t="s">
        <v>586</v>
      </c>
      <c r="D103" s="324" t="s">
        <v>374</v>
      </c>
      <c r="E103" s="325">
        <v>37741</v>
      </c>
      <c r="F103" s="145">
        <v>12573248</v>
      </c>
      <c r="G103" s="145">
        <v>12532448</v>
      </c>
      <c r="H103" s="145">
        <f t="shared" si="2"/>
        <v>40800</v>
      </c>
      <c r="I103" s="85">
        <v>0</v>
      </c>
    </row>
    <row r="104" spans="1:9" s="78" customFormat="1" ht="14.25" customHeight="1">
      <c r="A104" s="323" t="s">
        <v>461</v>
      </c>
      <c r="B104" s="322" t="s">
        <v>616</v>
      </c>
      <c r="C104" s="327" t="s">
        <v>462</v>
      </c>
      <c r="D104" s="324" t="s">
        <v>157</v>
      </c>
      <c r="E104" s="325">
        <v>37741</v>
      </c>
      <c r="F104" s="145">
        <v>13338528</v>
      </c>
      <c r="G104" s="145">
        <v>13338528</v>
      </c>
      <c r="H104" s="145">
        <f>SUM(F104-G104)</f>
        <v>0</v>
      </c>
      <c r="I104" s="85">
        <v>0</v>
      </c>
    </row>
    <row r="105" spans="1:10" s="78" customFormat="1" ht="14.25" customHeight="1">
      <c r="A105" s="292" t="s">
        <v>167</v>
      </c>
      <c r="B105" s="327" t="s">
        <v>618</v>
      </c>
      <c r="C105" s="327" t="s">
        <v>598</v>
      </c>
      <c r="D105" s="328" t="s">
        <v>375</v>
      </c>
      <c r="E105" s="325">
        <v>37772</v>
      </c>
      <c r="F105" s="145">
        <v>13132243</v>
      </c>
      <c r="G105" s="145">
        <v>13021843</v>
      </c>
      <c r="H105" s="145">
        <f t="shared" si="2"/>
        <v>110400</v>
      </c>
      <c r="I105" s="85">
        <v>0</v>
      </c>
      <c r="J105" s="78" t="s">
        <v>528</v>
      </c>
    </row>
    <row r="106" spans="1:9" s="78" customFormat="1" ht="14.25" customHeight="1">
      <c r="A106" s="323" t="s">
        <v>414</v>
      </c>
      <c r="B106" s="322" t="s">
        <v>619</v>
      </c>
      <c r="C106" s="327" t="s">
        <v>639</v>
      </c>
      <c r="D106" s="324" t="s">
        <v>17</v>
      </c>
      <c r="E106" s="325">
        <v>37772</v>
      </c>
      <c r="F106" s="145">
        <v>13331937</v>
      </c>
      <c r="G106" s="145">
        <v>13331937</v>
      </c>
      <c r="H106" s="145">
        <f t="shared" si="2"/>
        <v>0</v>
      </c>
      <c r="I106" s="85">
        <v>0</v>
      </c>
    </row>
    <row r="107" spans="1:10" s="78" customFormat="1" ht="14.25" customHeight="1">
      <c r="A107" s="292" t="s">
        <v>168</v>
      </c>
      <c r="B107" s="327" t="s">
        <v>626</v>
      </c>
      <c r="C107" s="327" t="s">
        <v>633</v>
      </c>
      <c r="D107" s="328" t="s">
        <v>376</v>
      </c>
      <c r="E107" s="325">
        <v>37802</v>
      </c>
      <c r="F107" s="145">
        <v>13126779</v>
      </c>
      <c r="G107" s="145">
        <v>13077179</v>
      </c>
      <c r="H107" s="145">
        <f t="shared" si="2"/>
        <v>49600</v>
      </c>
      <c r="I107" s="85">
        <v>0</v>
      </c>
      <c r="J107" s="78" t="s">
        <v>528</v>
      </c>
    </row>
    <row r="108" spans="1:9" s="78" customFormat="1" ht="14.25" customHeight="1">
      <c r="A108" s="292" t="s">
        <v>87</v>
      </c>
      <c r="B108" s="327" t="s">
        <v>623</v>
      </c>
      <c r="C108" s="327" t="s">
        <v>312</v>
      </c>
      <c r="D108" s="328" t="s">
        <v>86</v>
      </c>
      <c r="E108" s="325">
        <v>37802</v>
      </c>
      <c r="F108" s="145">
        <v>14671070</v>
      </c>
      <c r="G108" s="145">
        <v>14671070</v>
      </c>
      <c r="H108" s="145">
        <f t="shared" si="2"/>
        <v>0</v>
      </c>
      <c r="I108" s="85">
        <v>0</v>
      </c>
    </row>
    <row r="109" spans="1:9" s="78" customFormat="1" ht="14.25" customHeight="1">
      <c r="A109" s="292" t="s">
        <v>84</v>
      </c>
      <c r="B109" s="327" t="s">
        <v>624</v>
      </c>
      <c r="C109" s="327" t="s">
        <v>312</v>
      </c>
      <c r="D109" s="328" t="s">
        <v>85</v>
      </c>
      <c r="E109" s="325">
        <v>37833</v>
      </c>
      <c r="F109" s="145">
        <v>16003270</v>
      </c>
      <c r="G109" s="145">
        <v>16000070</v>
      </c>
      <c r="H109" s="145">
        <f>SUM(F109-G109)</f>
        <v>3200</v>
      </c>
      <c r="I109" s="85">
        <v>0</v>
      </c>
    </row>
    <row r="110" spans="1:9" s="78" customFormat="1" ht="14.25" customHeight="1">
      <c r="A110" s="323" t="s">
        <v>169</v>
      </c>
      <c r="B110" s="322" t="s">
        <v>609</v>
      </c>
      <c r="C110" s="322" t="s">
        <v>586</v>
      </c>
      <c r="D110" s="324" t="s">
        <v>377</v>
      </c>
      <c r="E110" s="325">
        <v>37848</v>
      </c>
      <c r="F110" s="145">
        <v>28011028</v>
      </c>
      <c r="G110" s="145">
        <v>25136062</v>
      </c>
      <c r="H110" s="145">
        <f t="shared" si="2"/>
        <v>2874966</v>
      </c>
      <c r="I110" s="85">
        <v>160200</v>
      </c>
    </row>
    <row r="111" spans="1:9" s="78" customFormat="1" ht="14.25" customHeight="1">
      <c r="A111" s="292" t="s">
        <v>270</v>
      </c>
      <c r="B111" s="327" t="s">
        <v>590</v>
      </c>
      <c r="C111" s="327" t="s">
        <v>637</v>
      </c>
      <c r="D111" s="328" t="s">
        <v>378</v>
      </c>
      <c r="E111" s="325">
        <v>37848</v>
      </c>
      <c r="F111" s="145">
        <v>19852263</v>
      </c>
      <c r="G111" s="145">
        <v>19782663</v>
      </c>
      <c r="H111" s="145">
        <f t="shared" si="2"/>
        <v>69600</v>
      </c>
      <c r="I111" s="85">
        <v>0</v>
      </c>
    </row>
    <row r="112" spans="1:10" s="78" customFormat="1" ht="14.25" customHeight="1">
      <c r="A112" s="323" t="s">
        <v>66</v>
      </c>
      <c r="B112" s="322" t="s">
        <v>627</v>
      </c>
      <c r="C112" s="327" t="s">
        <v>671</v>
      </c>
      <c r="D112" s="324" t="s">
        <v>292</v>
      </c>
      <c r="E112" s="325">
        <v>37864</v>
      </c>
      <c r="F112" s="145">
        <v>18665038</v>
      </c>
      <c r="G112" s="145">
        <v>18665038</v>
      </c>
      <c r="H112" s="145">
        <f aca="true" t="shared" si="3" ref="H112:H117">SUM(F112-G112)</f>
        <v>0</v>
      </c>
      <c r="I112" s="85">
        <v>0</v>
      </c>
      <c r="J112" s="78" t="s">
        <v>528</v>
      </c>
    </row>
    <row r="113" spans="1:10" s="78" customFormat="1" ht="14.25" customHeight="1">
      <c r="A113" s="323" t="s">
        <v>726</v>
      </c>
      <c r="B113" s="322" t="s">
        <v>632</v>
      </c>
      <c r="C113" s="327" t="s">
        <v>728</v>
      </c>
      <c r="D113" s="324" t="s">
        <v>729</v>
      </c>
      <c r="E113" s="325">
        <v>37894</v>
      </c>
      <c r="F113" s="145">
        <v>22675482</v>
      </c>
      <c r="G113" s="145">
        <v>22673882</v>
      </c>
      <c r="H113" s="145">
        <f t="shared" si="3"/>
        <v>1600</v>
      </c>
      <c r="I113" s="85">
        <v>0</v>
      </c>
      <c r="J113" s="78" t="s">
        <v>528</v>
      </c>
    </row>
    <row r="114" spans="1:10" s="78" customFormat="1" ht="14.25" customHeight="1">
      <c r="A114" s="406" t="s">
        <v>727</v>
      </c>
      <c r="B114" s="322" t="s">
        <v>584</v>
      </c>
      <c r="C114" s="327" t="s">
        <v>728</v>
      </c>
      <c r="D114" s="324" t="s">
        <v>730</v>
      </c>
      <c r="E114" s="325">
        <v>37925</v>
      </c>
      <c r="F114" s="145">
        <v>25147960</v>
      </c>
      <c r="G114" s="145">
        <v>25146360</v>
      </c>
      <c r="H114" s="145">
        <f t="shared" si="3"/>
        <v>1600</v>
      </c>
      <c r="I114" s="85">
        <v>0</v>
      </c>
      <c r="J114" s="78" t="s">
        <v>528</v>
      </c>
    </row>
    <row r="115" spans="1:10" s="78" customFormat="1" ht="14.25" customHeight="1">
      <c r="A115" s="292" t="s">
        <v>171</v>
      </c>
      <c r="B115" s="322" t="s">
        <v>597</v>
      </c>
      <c r="C115" s="327" t="s">
        <v>639</v>
      </c>
      <c r="D115" s="328" t="s">
        <v>379</v>
      </c>
      <c r="E115" s="325">
        <v>37940</v>
      </c>
      <c r="F115" s="145">
        <v>18625785</v>
      </c>
      <c r="G115" s="145">
        <v>16958390</v>
      </c>
      <c r="H115" s="145">
        <f t="shared" si="3"/>
        <v>1667395</v>
      </c>
      <c r="I115" s="85">
        <v>4300</v>
      </c>
      <c r="J115" s="78" t="s">
        <v>528</v>
      </c>
    </row>
    <row r="116" spans="1:9" s="78" customFormat="1" ht="14.25" customHeight="1">
      <c r="A116" s="292" t="s">
        <v>160</v>
      </c>
      <c r="B116" s="322" t="s">
        <v>596</v>
      </c>
      <c r="C116" s="327" t="s">
        <v>161</v>
      </c>
      <c r="D116" s="328" t="s">
        <v>162</v>
      </c>
      <c r="E116" s="325">
        <v>37955</v>
      </c>
      <c r="F116" s="145">
        <v>26170526</v>
      </c>
      <c r="G116" s="145">
        <v>26170526</v>
      </c>
      <c r="H116" s="145">
        <f t="shared" si="3"/>
        <v>0</v>
      </c>
      <c r="I116" s="85">
        <v>0</v>
      </c>
    </row>
    <row r="117" spans="1:9" s="78" customFormat="1" ht="14.25" customHeight="1">
      <c r="A117" s="323" t="s">
        <v>276</v>
      </c>
      <c r="B117" s="322" t="s">
        <v>612</v>
      </c>
      <c r="C117" s="327" t="s">
        <v>277</v>
      </c>
      <c r="D117" s="324" t="s">
        <v>278</v>
      </c>
      <c r="E117" s="325">
        <v>37986</v>
      </c>
      <c r="F117" s="145">
        <v>29666988</v>
      </c>
      <c r="G117" s="145">
        <v>29666988</v>
      </c>
      <c r="H117" s="145">
        <f t="shared" si="3"/>
        <v>0</v>
      </c>
      <c r="I117" s="85">
        <v>0</v>
      </c>
    </row>
    <row r="118" spans="1:9" s="78" customFormat="1" ht="14.25" customHeight="1">
      <c r="A118" s="323" t="s">
        <v>70</v>
      </c>
      <c r="B118" s="322" t="s">
        <v>590</v>
      </c>
      <c r="C118" s="327">
        <v>3</v>
      </c>
      <c r="D118" s="324" t="s">
        <v>74</v>
      </c>
      <c r="E118" s="325">
        <v>38017</v>
      </c>
      <c r="F118" s="145">
        <v>30775555</v>
      </c>
      <c r="G118" s="145">
        <v>30775555</v>
      </c>
      <c r="H118" s="145">
        <f>SUM(F118-G118)</f>
        <v>0</v>
      </c>
      <c r="I118" s="85">
        <v>0</v>
      </c>
    </row>
    <row r="119" spans="1:9" s="78" customFormat="1" ht="14.25" customHeight="1">
      <c r="A119" s="323" t="s">
        <v>172</v>
      </c>
      <c r="B119" s="322" t="s">
        <v>593</v>
      </c>
      <c r="C119" s="322" t="s">
        <v>592</v>
      </c>
      <c r="D119" s="324" t="s">
        <v>380</v>
      </c>
      <c r="E119" s="325">
        <v>38032</v>
      </c>
      <c r="F119" s="145">
        <v>12955077</v>
      </c>
      <c r="G119" s="145">
        <v>12030593</v>
      </c>
      <c r="H119" s="145">
        <f aca="true" t="shared" si="4" ref="H119:H165">SUM(F119-G119)</f>
        <v>924484</v>
      </c>
      <c r="I119" s="85">
        <v>37600</v>
      </c>
    </row>
    <row r="120" spans="1:9" s="78" customFormat="1" ht="14.25" customHeight="1">
      <c r="A120" s="323" t="s">
        <v>271</v>
      </c>
      <c r="B120" s="322" t="s">
        <v>587</v>
      </c>
      <c r="C120" s="327" t="s">
        <v>641</v>
      </c>
      <c r="D120" s="324" t="s">
        <v>20</v>
      </c>
      <c r="E120" s="325">
        <v>38032</v>
      </c>
      <c r="F120" s="145">
        <v>17823228</v>
      </c>
      <c r="G120" s="145">
        <v>17811228</v>
      </c>
      <c r="H120" s="145">
        <f t="shared" si="4"/>
        <v>12000</v>
      </c>
      <c r="I120" s="85">
        <v>0</v>
      </c>
    </row>
    <row r="121" spans="1:9" s="78" customFormat="1" ht="14.25" customHeight="1">
      <c r="A121" s="323" t="s">
        <v>134</v>
      </c>
      <c r="B121" s="322" t="s">
        <v>597</v>
      </c>
      <c r="C121" s="327">
        <v>3</v>
      </c>
      <c r="D121" s="324" t="s">
        <v>135</v>
      </c>
      <c r="E121" s="325">
        <v>38046</v>
      </c>
      <c r="F121" s="145">
        <v>31746067</v>
      </c>
      <c r="G121" s="145">
        <v>31746067</v>
      </c>
      <c r="H121" s="145">
        <f>SUM(F121-G121)</f>
        <v>0</v>
      </c>
      <c r="I121" s="85">
        <v>0</v>
      </c>
    </row>
    <row r="122" spans="1:9" s="78" customFormat="1" ht="14.25" customHeight="1">
      <c r="A122" s="323" t="s">
        <v>858</v>
      </c>
      <c r="B122" s="322" t="s">
        <v>600</v>
      </c>
      <c r="C122" s="327" t="s">
        <v>671</v>
      </c>
      <c r="D122" s="324" t="s">
        <v>722</v>
      </c>
      <c r="E122" s="325">
        <v>38077</v>
      </c>
      <c r="F122" s="145">
        <v>32873508</v>
      </c>
      <c r="G122" s="145">
        <v>32873508</v>
      </c>
      <c r="H122" s="145">
        <f>SUM(F122-G122)</f>
        <v>0</v>
      </c>
      <c r="I122" s="85">
        <v>0</v>
      </c>
    </row>
    <row r="123" spans="1:9" s="78" customFormat="1" ht="14.25" customHeight="1">
      <c r="A123" s="323" t="s">
        <v>723</v>
      </c>
      <c r="B123" s="322" t="s">
        <v>606</v>
      </c>
      <c r="C123" s="327" t="s">
        <v>672</v>
      </c>
      <c r="D123" s="324" t="s">
        <v>724</v>
      </c>
      <c r="E123" s="325">
        <v>38107</v>
      </c>
      <c r="F123" s="145">
        <v>32654971</v>
      </c>
      <c r="G123" s="145">
        <v>32654971</v>
      </c>
      <c r="H123" s="145">
        <f>SUM(F123-G123)</f>
        <v>0</v>
      </c>
      <c r="I123" s="85">
        <v>0</v>
      </c>
    </row>
    <row r="124" spans="1:9" s="78" customFormat="1" ht="14.25" customHeight="1">
      <c r="A124" s="323" t="s">
        <v>859</v>
      </c>
      <c r="B124" s="322" t="s">
        <v>609</v>
      </c>
      <c r="C124" s="322" t="s">
        <v>640</v>
      </c>
      <c r="D124" s="324" t="s">
        <v>381</v>
      </c>
      <c r="E124" s="325">
        <v>38122</v>
      </c>
      <c r="F124" s="145">
        <v>14440372</v>
      </c>
      <c r="G124" s="145">
        <v>13378335</v>
      </c>
      <c r="H124" s="145">
        <f t="shared" si="4"/>
        <v>1062037</v>
      </c>
      <c r="I124" s="85">
        <v>14000</v>
      </c>
    </row>
    <row r="125" spans="1:9" s="78" customFormat="1" ht="14.25" customHeight="1">
      <c r="A125" s="323" t="s">
        <v>173</v>
      </c>
      <c r="B125" s="322" t="s">
        <v>603</v>
      </c>
      <c r="C125" s="327" t="s">
        <v>637</v>
      </c>
      <c r="D125" s="324" t="s">
        <v>7</v>
      </c>
      <c r="E125" s="325">
        <v>38122</v>
      </c>
      <c r="F125" s="145">
        <v>18925383</v>
      </c>
      <c r="G125" s="145">
        <v>18925383</v>
      </c>
      <c r="H125" s="145">
        <f t="shared" si="4"/>
        <v>0</v>
      </c>
      <c r="I125" s="85">
        <v>0</v>
      </c>
    </row>
    <row r="126" spans="1:9" s="78" customFormat="1" ht="14.25" customHeight="1">
      <c r="A126" s="323" t="s">
        <v>12</v>
      </c>
      <c r="B126" s="322" t="s">
        <v>613</v>
      </c>
      <c r="C126" s="327" t="s">
        <v>277</v>
      </c>
      <c r="D126" s="324" t="s">
        <v>554</v>
      </c>
      <c r="E126" s="331">
        <v>38138</v>
      </c>
      <c r="F126" s="145">
        <v>33297400</v>
      </c>
      <c r="G126" s="145">
        <v>33297400</v>
      </c>
      <c r="H126" s="145">
        <f>SUM(F126-G126)</f>
        <v>0</v>
      </c>
      <c r="I126" s="85">
        <v>0</v>
      </c>
    </row>
    <row r="127" spans="1:9" s="78" customFormat="1" ht="14.25" customHeight="1">
      <c r="A127" s="323" t="s">
        <v>862</v>
      </c>
      <c r="B127" s="322" t="s">
        <v>616</v>
      </c>
      <c r="C127" s="327" t="s">
        <v>865</v>
      </c>
      <c r="D127" s="324" t="s">
        <v>863</v>
      </c>
      <c r="E127" s="331">
        <v>38168</v>
      </c>
      <c r="F127" s="145">
        <v>34050042</v>
      </c>
      <c r="G127" s="145">
        <v>34050042</v>
      </c>
      <c r="H127" s="145">
        <f>SUM(F127-G127)</f>
        <v>0</v>
      </c>
      <c r="I127" s="85">
        <v>0</v>
      </c>
    </row>
    <row r="128" spans="1:9" s="78" customFormat="1" ht="14.25" customHeight="1">
      <c r="A128" s="323" t="s">
        <v>819</v>
      </c>
      <c r="B128" s="322" t="s">
        <v>619</v>
      </c>
      <c r="C128" s="327" t="s">
        <v>815</v>
      </c>
      <c r="D128" s="324" t="s">
        <v>816</v>
      </c>
      <c r="E128" s="331">
        <v>38199</v>
      </c>
      <c r="F128" s="145">
        <v>33250010</v>
      </c>
      <c r="G128" s="145">
        <v>33250010</v>
      </c>
      <c r="H128" s="145">
        <f>SUM(F128-G128)</f>
        <v>0</v>
      </c>
      <c r="I128" s="85">
        <v>0</v>
      </c>
    </row>
    <row r="129" spans="1:9" s="78" customFormat="1" ht="14.25" customHeight="1">
      <c r="A129" s="323" t="s">
        <v>13</v>
      </c>
      <c r="B129" s="322" t="s">
        <v>621</v>
      </c>
      <c r="C129" s="322" t="s">
        <v>640</v>
      </c>
      <c r="D129" s="324" t="s">
        <v>382</v>
      </c>
      <c r="E129" s="325">
        <v>38214</v>
      </c>
      <c r="F129" s="145">
        <v>13346467</v>
      </c>
      <c r="G129" s="145">
        <v>11110796</v>
      </c>
      <c r="H129" s="145">
        <f t="shared" si="4"/>
        <v>2235671</v>
      </c>
      <c r="I129" s="85">
        <v>24700</v>
      </c>
    </row>
    <row r="130" spans="1:9" s="78" customFormat="1" ht="14.25" customHeight="1">
      <c r="A130" s="323" t="s">
        <v>174</v>
      </c>
      <c r="B130" s="322" t="s">
        <v>618</v>
      </c>
      <c r="C130" s="322">
        <v>6</v>
      </c>
      <c r="D130" s="324" t="s">
        <v>154</v>
      </c>
      <c r="E130" s="325">
        <v>38214</v>
      </c>
      <c r="F130" s="145">
        <v>18089806</v>
      </c>
      <c r="G130" s="145">
        <v>18089806</v>
      </c>
      <c r="H130" s="145">
        <f t="shared" si="4"/>
        <v>0</v>
      </c>
      <c r="I130" s="85">
        <v>0</v>
      </c>
    </row>
    <row r="131" spans="1:9" s="78" customFormat="1" ht="14.25" customHeight="1">
      <c r="A131" s="323" t="s">
        <v>793</v>
      </c>
      <c r="B131" s="322" t="s">
        <v>623</v>
      </c>
      <c r="C131" s="327" t="s">
        <v>794</v>
      </c>
      <c r="D131" s="324" t="s">
        <v>795</v>
      </c>
      <c r="E131" s="331">
        <v>38230</v>
      </c>
      <c r="F131" s="145">
        <v>34541397</v>
      </c>
      <c r="G131" s="145">
        <v>34541397</v>
      </c>
      <c r="H131" s="145">
        <f>SUM(F131-G131)</f>
        <v>0</v>
      </c>
      <c r="I131" s="85">
        <v>0</v>
      </c>
    </row>
    <row r="132" spans="1:9" s="78" customFormat="1" ht="14.25" customHeight="1">
      <c r="A132" s="323" t="s">
        <v>796</v>
      </c>
      <c r="B132" s="322" t="s">
        <v>624</v>
      </c>
      <c r="C132" s="327" t="s">
        <v>797</v>
      </c>
      <c r="D132" s="324" t="s">
        <v>798</v>
      </c>
      <c r="E132" s="331">
        <v>38260</v>
      </c>
      <c r="F132" s="145">
        <v>34655535</v>
      </c>
      <c r="G132" s="145">
        <v>34655535</v>
      </c>
      <c r="H132" s="145">
        <f>SUM(F132-G132)</f>
        <v>0</v>
      </c>
      <c r="I132" s="85">
        <v>0</v>
      </c>
    </row>
    <row r="133" spans="1:9" s="78" customFormat="1" ht="14.25" customHeight="1">
      <c r="A133" s="323" t="s">
        <v>144</v>
      </c>
      <c r="B133" s="322" t="s">
        <v>627</v>
      </c>
      <c r="C133" s="327" t="s">
        <v>794</v>
      </c>
      <c r="D133" s="324" t="s">
        <v>145</v>
      </c>
      <c r="E133" s="331">
        <v>38291</v>
      </c>
      <c r="F133" s="145">
        <v>32439549</v>
      </c>
      <c r="G133" s="145">
        <v>32439549</v>
      </c>
      <c r="H133" s="145">
        <f>SUM(F133-G133)</f>
        <v>0</v>
      </c>
      <c r="I133" s="85">
        <v>0</v>
      </c>
    </row>
    <row r="134" spans="1:9" s="78" customFormat="1" ht="14.25" customHeight="1">
      <c r="A134" s="323" t="s">
        <v>792</v>
      </c>
      <c r="B134" s="322" t="s">
        <v>630</v>
      </c>
      <c r="C134" s="322" t="s">
        <v>631</v>
      </c>
      <c r="D134" s="324" t="s">
        <v>383</v>
      </c>
      <c r="E134" s="325">
        <v>38306</v>
      </c>
      <c r="F134" s="145">
        <v>14373760</v>
      </c>
      <c r="G134" s="145">
        <v>14365760</v>
      </c>
      <c r="H134" s="145">
        <f t="shared" si="4"/>
        <v>8000</v>
      </c>
      <c r="I134" s="85">
        <v>0</v>
      </c>
    </row>
    <row r="135" spans="1:9" s="78" customFormat="1" ht="14.25" customHeight="1">
      <c r="A135" s="323" t="s">
        <v>175</v>
      </c>
      <c r="B135" s="322" t="s">
        <v>626</v>
      </c>
      <c r="C135" s="322" t="s">
        <v>592</v>
      </c>
      <c r="D135" s="324" t="s">
        <v>108</v>
      </c>
      <c r="E135" s="325">
        <v>38306</v>
      </c>
      <c r="F135" s="145">
        <v>32658145</v>
      </c>
      <c r="G135" s="145">
        <v>32658145</v>
      </c>
      <c r="H135" s="145">
        <f t="shared" si="4"/>
        <v>0</v>
      </c>
      <c r="I135" s="85">
        <v>0</v>
      </c>
    </row>
    <row r="136" spans="1:9" s="78" customFormat="1" ht="14.25" customHeight="1">
      <c r="A136" s="323" t="s">
        <v>88</v>
      </c>
      <c r="B136" s="322" t="s">
        <v>632</v>
      </c>
      <c r="C136" s="322">
        <v>2</v>
      </c>
      <c r="D136" s="324" t="s">
        <v>92</v>
      </c>
      <c r="E136" s="325">
        <v>38321</v>
      </c>
      <c r="F136" s="145">
        <v>32871320</v>
      </c>
      <c r="G136" s="145">
        <v>32871320</v>
      </c>
      <c r="H136" s="145">
        <f>SUM(F136-G136)</f>
        <v>0</v>
      </c>
      <c r="I136" s="85">
        <v>0</v>
      </c>
    </row>
    <row r="137" spans="1:9" s="78" customFormat="1" ht="14.25" customHeight="1">
      <c r="A137" s="323" t="s">
        <v>89</v>
      </c>
      <c r="B137" s="322" t="s">
        <v>584</v>
      </c>
      <c r="C137" s="327" t="s">
        <v>91</v>
      </c>
      <c r="D137" s="324" t="s">
        <v>93</v>
      </c>
      <c r="E137" s="325">
        <v>38352</v>
      </c>
      <c r="F137" s="145">
        <v>33203363</v>
      </c>
      <c r="G137" s="145">
        <v>33203363</v>
      </c>
      <c r="H137" s="145">
        <f>SUM(F137-G137)</f>
        <v>0</v>
      </c>
      <c r="I137" s="85">
        <v>0</v>
      </c>
    </row>
    <row r="138" spans="1:9" s="78" customFormat="1" ht="14.25" customHeight="1">
      <c r="A138" s="323" t="s">
        <v>118</v>
      </c>
      <c r="B138" s="322" t="s">
        <v>618</v>
      </c>
      <c r="C138" s="327" t="s">
        <v>117</v>
      </c>
      <c r="D138" s="324" t="s">
        <v>119</v>
      </c>
      <c r="E138" s="325">
        <v>38383</v>
      </c>
      <c r="F138" s="145">
        <v>33838032</v>
      </c>
      <c r="G138" s="145">
        <v>33838032</v>
      </c>
      <c r="H138" s="145">
        <f>SUM(F138-G138)</f>
        <v>0</v>
      </c>
      <c r="I138" s="85">
        <v>0</v>
      </c>
    </row>
    <row r="139" spans="1:9" s="78" customFormat="1" ht="14.25" customHeight="1">
      <c r="A139" s="323" t="s">
        <v>90</v>
      </c>
      <c r="B139" s="322" t="s">
        <v>593</v>
      </c>
      <c r="C139" s="322" t="s">
        <v>628</v>
      </c>
      <c r="D139" s="324" t="s">
        <v>384</v>
      </c>
      <c r="E139" s="325">
        <v>38398</v>
      </c>
      <c r="F139" s="145">
        <v>13834754</v>
      </c>
      <c r="G139" s="145">
        <v>13183835</v>
      </c>
      <c r="H139" s="145">
        <f t="shared" si="4"/>
        <v>650919</v>
      </c>
      <c r="I139" s="85">
        <v>105440</v>
      </c>
    </row>
    <row r="140" spans="1:9" s="78" customFormat="1" ht="14.25" customHeight="1">
      <c r="A140" s="323" t="s">
        <v>176</v>
      </c>
      <c r="B140" s="322" t="s">
        <v>609</v>
      </c>
      <c r="C140" s="322" t="s">
        <v>607</v>
      </c>
      <c r="D140" s="324" t="s">
        <v>385</v>
      </c>
      <c r="E140" s="325">
        <v>38487</v>
      </c>
      <c r="F140" s="145">
        <v>14739504</v>
      </c>
      <c r="G140" s="145">
        <v>14739104</v>
      </c>
      <c r="H140" s="145">
        <f t="shared" si="4"/>
        <v>400</v>
      </c>
      <c r="I140" s="85">
        <v>0</v>
      </c>
    </row>
    <row r="141" spans="1:9" s="78" customFormat="1" ht="14.25" customHeight="1">
      <c r="A141" s="323" t="s">
        <v>177</v>
      </c>
      <c r="B141" s="322" t="s">
        <v>587</v>
      </c>
      <c r="C141" s="327" t="s">
        <v>614</v>
      </c>
      <c r="D141" s="324" t="s">
        <v>309</v>
      </c>
      <c r="E141" s="325">
        <v>38487</v>
      </c>
      <c r="F141" s="145">
        <v>28562370</v>
      </c>
      <c r="G141" s="145">
        <v>28491170</v>
      </c>
      <c r="H141" s="145">
        <f t="shared" si="4"/>
        <v>71200</v>
      </c>
      <c r="I141" s="85">
        <v>72000</v>
      </c>
    </row>
    <row r="142" spans="1:9" s="78" customFormat="1" ht="14.25" customHeight="1">
      <c r="A142" s="323" t="s">
        <v>178</v>
      </c>
      <c r="B142" s="322" t="s">
        <v>621</v>
      </c>
      <c r="C142" s="322" t="s">
        <v>607</v>
      </c>
      <c r="D142" s="324" t="s">
        <v>386</v>
      </c>
      <c r="E142" s="325">
        <v>38579</v>
      </c>
      <c r="F142" s="145">
        <v>15002580</v>
      </c>
      <c r="G142" s="145">
        <v>15002180</v>
      </c>
      <c r="H142" s="145">
        <f t="shared" si="4"/>
        <v>400</v>
      </c>
      <c r="I142" s="85">
        <v>0</v>
      </c>
    </row>
    <row r="143" spans="1:9" s="78" customFormat="1" ht="14.25" customHeight="1">
      <c r="A143" s="323" t="s">
        <v>179</v>
      </c>
      <c r="B143" s="322" t="s">
        <v>630</v>
      </c>
      <c r="C143" s="322" t="s">
        <v>592</v>
      </c>
      <c r="D143" s="324" t="s">
        <v>387</v>
      </c>
      <c r="E143" s="325">
        <v>38671</v>
      </c>
      <c r="F143" s="145">
        <v>15209920</v>
      </c>
      <c r="G143" s="145">
        <v>14488568</v>
      </c>
      <c r="H143" s="145">
        <f t="shared" si="4"/>
        <v>721352</v>
      </c>
      <c r="I143" s="85">
        <v>17000</v>
      </c>
    </row>
    <row r="144" spans="1:9" s="78" customFormat="1" ht="14.25" customHeight="1">
      <c r="A144" s="323" t="s">
        <v>180</v>
      </c>
      <c r="B144" s="322" t="s">
        <v>603</v>
      </c>
      <c r="C144" s="327" t="s">
        <v>586</v>
      </c>
      <c r="D144" s="324" t="s">
        <v>272</v>
      </c>
      <c r="E144" s="325">
        <v>38671</v>
      </c>
      <c r="F144" s="145">
        <v>28062797</v>
      </c>
      <c r="G144" s="145">
        <v>27392197</v>
      </c>
      <c r="H144" s="145">
        <f t="shared" si="4"/>
        <v>670600</v>
      </c>
      <c r="I144" s="85">
        <v>8600</v>
      </c>
    </row>
    <row r="145" spans="1:9" s="78" customFormat="1" ht="14.25" customHeight="1">
      <c r="A145" s="323" t="s">
        <v>181</v>
      </c>
      <c r="B145" s="322" t="s">
        <v>593</v>
      </c>
      <c r="C145" s="322" t="s">
        <v>629</v>
      </c>
      <c r="D145" s="324" t="s">
        <v>388</v>
      </c>
      <c r="E145" s="325">
        <v>38763</v>
      </c>
      <c r="F145" s="145">
        <v>15513587</v>
      </c>
      <c r="G145" s="145">
        <v>15508107</v>
      </c>
      <c r="H145" s="145">
        <f t="shared" si="4"/>
        <v>5480</v>
      </c>
      <c r="I145" s="85">
        <v>0</v>
      </c>
    </row>
    <row r="146" spans="1:9" s="78" customFormat="1" ht="14.25" customHeight="1">
      <c r="A146" s="323" t="s">
        <v>182</v>
      </c>
      <c r="B146" s="322" t="s">
        <v>609</v>
      </c>
      <c r="C146" s="322" t="s">
        <v>620</v>
      </c>
      <c r="D146" s="324" t="s">
        <v>389</v>
      </c>
      <c r="E146" s="331">
        <v>38852</v>
      </c>
      <c r="F146" s="145">
        <v>16015475</v>
      </c>
      <c r="G146" s="145">
        <v>14930834</v>
      </c>
      <c r="H146" s="145">
        <f t="shared" si="4"/>
        <v>1084641</v>
      </c>
      <c r="I146" s="85">
        <v>55529</v>
      </c>
    </row>
    <row r="147" spans="1:9" s="78" customFormat="1" ht="14.25" customHeight="1">
      <c r="A147" s="323" t="s">
        <v>78</v>
      </c>
      <c r="B147" s="322" t="s">
        <v>587</v>
      </c>
      <c r="C147" s="347" t="s">
        <v>140</v>
      </c>
      <c r="D147" s="324" t="s">
        <v>749</v>
      </c>
      <c r="E147" s="331">
        <v>38852</v>
      </c>
      <c r="F147" s="145">
        <v>27797852</v>
      </c>
      <c r="G147" s="145">
        <v>27797852</v>
      </c>
      <c r="H147" s="145">
        <f t="shared" si="4"/>
        <v>0</v>
      </c>
      <c r="I147" s="85">
        <v>0</v>
      </c>
    </row>
    <row r="148" spans="1:9" s="78" customFormat="1" ht="14.25" customHeight="1">
      <c r="A148" s="323" t="s">
        <v>183</v>
      </c>
      <c r="B148" s="322" t="s">
        <v>621</v>
      </c>
      <c r="C148" s="322" t="s">
        <v>604</v>
      </c>
      <c r="D148" s="324" t="s">
        <v>390</v>
      </c>
      <c r="E148" s="331">
        <v>38913</v>
      </c>
      <c r="F148" s="145">
        <v>22740446</v>
      </c>
      <c r="G148" s="145">
        <v>22602446</v>
      </c>
      <c r="H148" s="145">
        <f t="shared" si="4"/>
        <v>138000</v>
      </c>
      <c r="I148" s="85">
        <v>8000</v>
      </c>
    </row>
    <row r="149" spans="1:9" s="78" customFormat="1" ht="14.25" customHeight="1">
      <c r="A149" s="323" t="s">
        <v>184</v>
      </c>
      <c r="B149" s="322" t="s">
        <v>630</v>
      </c>
      <c r="C149" s="322" t="s">
        <v>607</v>
      </c>
      <c r="D149" s="324" t="s">
        <v>391</v>
      </c>
      <c r="E149" s="331">
        <v>39005</v>
      </c>
      <c r="F149" s="145">
        <v>22459675</v>
      </c>
      <c r="G149" s="145">
        <v>22395675</v>
      </c>
      <c r="H149" s="145">
        <f t="shared" si="4"/>
        <v>64000</v>
      </c>
      <c r="I149" s="85">
        <v>0</v>
      </c>
    </row>
    <row r="150" spans="1:9" s="78" customFormat="1" ht="14.25" customHeight="1">
      <c r="A150" s="323" t="s">
        <v>755</v>
      </c>
      <c r="B150" s="322" t="s">
        <v>603</v>
      </c>
      <c r="C150" s="327" t="s">
        <v>680</v>
      </c>
      <c r="D150" s="324" t="s">
        <v>756</v>
      </c>
      <c r="E150" s="331">
        <v>39036</v>
      </c>
      <c r="F150" s="145">
        <v>35380129</v>
      </c>
      <c r="G150" s="145">
        <v>34517243</v>
      </c>
      <c r="H150" s="145">
        <f>SUM(F150-G150)</f>
        <v>862886</v>
      </c>
      <c r="I150" s="85">
        <v>186000</v>
      </c>
    </row>
    <row r="151" spans="1:9" s="78" customFormat="1" ht="14.25" customHeight="1">
      <c r="A151" s="323" t="s">
        <v>185</v>
      </c>
      <c r="B151" s="322" t="s">
        <v>609</v>
      </c>
      <c r="C151" s="322" t="s">
        <v>602</v>
      </c>
      <c r="D151" s="324" t="s">
        <v>392</v>
      </c>
      <c r="E151" s="331">
        <v>39128</v>
      </c>
      <c r="F151" s="145">
        <v>13103678</v>
      </c>
      <c r="G151" s="145">
        <v>12423640</v>
      </c>
      <c r="H151" s="145">
        <f t="shared" si="4"/>
        <v>680038</v>
      </c>
      <c r="I151" s="85">
        <v>64608</v>
      </c>
    </row>
    <row r="152" spans="1:9" s="78" customFormat="1" ht="14.25" customHeight="1">
      <c r="A152" s="323" t="s">
        <v>186</v>
      </c>
      <c r="B152" s="322" t="s">
        <v>621</v>
      </c>
      <c r="C152" s="327" t="s">
        <v>638</v>
      </c>
      <c r="D152" s="324" t="s">
        <v>393</v>
      </c>
      <c r="E152" s="331">
        <v>39217</v>
      </c>
      <c r="F152" s="145">
        <v>13958186</v>
      </c>
      <c r="G152" s="145">
        <v>12558073</v>
      </c>
      <c r="H152" s="145">
        <f t="shared" si="4"/>
        <v>1400113</v>
      </c>
      <c r="I152" s="85">
        <v>28600</v>
      </c>
    </row>
    <row r="153" spans="1:9" s="78" customFormat="1" ht="14.25" customHeight="1">
      <c r="A153" s="323" t="s">
        <v>856</v>
      </c>
      <c r="B153" s="322" t="s">
        <v>587</v>
      </c>
      <c r="C153" s="327" t="s">
        <v>860</v>
      </c>
      <c r="D153" s="324" t="s">
        <v>861</v>
      </c>
      <c r="E153" s="331">
        <v>39217</v>
      </c>
      <c r="F153" s="145">
        <v>24351431</v>
      </c>
      <c r="G153" s="145">
        <v>24351431</v>
      </c>
      <c r="H153" s="145">
        <f>SUM(F153-G153)</f>
        <v>0</v>
      </c>
      <c r="I153" s="85">
        <v>0</v>
      </c>
    </row>
    <row r="154" spans="1:9" s="78" customFormat="1" ht="12.75" customHeight="1">
      <c r="A154" s="292" t="s">
        <v>857</v>
      </c>
      <c r="B154" s="322" t="s">
        <v>630</v>
      </c>
      <c r="C154" s="327" t="s">
        <v>635</v>
      </c>
      <c r="D154" s="324" t="s">
        <v>394</v>
      </c>
      <c r="E154" s="331">
        <v>39309</v>
      </c>
      <c r="F154" s="145">
        <v>25636803</v>
      </c>
      <c r="G154" s="145">
        <v>23438511</v>
      </c>
      <c r="H154" s="145">
        <f t="shared" si="4"/>
        <v>2198292</v>
      </c>
      <c r="I154" s="85">
        <v>11200</v>
      </c>
    </row>
    <row r="155" spans="1:9" s="78" customFormat="1" ht="12.75" customHeight="1">
      <c r="A155" s="323" t="s">
        <v>217</v>
      </c>
      <c r="B155" s="322" t="s">
        <v>603</v>
      </c>
      <c r="C155" s="327" t="s">
        <v>277</v>
      </c>
      <c r="D155" s="324" t="s">
        <v>822</v>
      </c>
      <c r="E155" s="331">
        <v>39309</v>
      </c>
      <c r="F155" s="145">
        <v>25410844</v>
      </c>
      <c r="G155" s="145">
        <v>25410844</v>
      </c>
      <c r="H155" s="145">
        <f>SUM(F155-G155)</f>
        <v>0</v>
      </c>
      <c r="I155" s="85">
        <v>0</v>
      </c>
    </row>
    <row r="156" spans="1:9" s="78" customFormat="1" ht="12.75" customHeight="1">
      <c r="A156" s="323" t="s">
        <v>58</v>
      </c>
      <c r="B156" s="322" t="s">
        <v>618</v>
      </c>
      <c r="C156" s="327" t="s">
        <v>161</v>
      </c>
      <c r="D156" s="324" t="s">
        <v>59</v>
      </c>
      <c r="E156" s="331">
        <v>39401</v>
      </c>
      <c r="F156" s="145">
        <v>23311319</v>
      </c>
      <c r="G156" s="145">
        <v>22472039</v>
      </c>
      <c r="H156" s="145">
        <f>SUM(F156-G156)</f>
        <v>839280</v>
      </c>
      <c r="I156" s="85">
        <v>439800</v>
      </c>
    </row>
    <row r="157" spans="1:9" s="78" customFormat="1" ht="14.25" customHeight="1">
      <c r="A157" s="292" t="s">
        <v>823</v>
      </c>
      <c r="B157" s="322" t="s">
        <v>609</v>
      </c>
      <c r="C157" s="327" t="s">
        <v>598</v>
      </c>
      <c r="D157" s="324" t="s">
        <v>395</v>
      </c>
      <c r="E157" s="331">
        <v>39493</v>
      </c>
      <c r="F157" s="145">
        <v>13583412</v>
      </c>
      <c r="G157" s="145">
        <v>13197191</v>
      </c>
      <c r="H157" s="145">
        <f t="shared" si="4"/>
        <v>386221</v>
      </c>
      <c r="I157" s="85">
        <v>5000</v>
      </c>
    </row>
    <row r="158" spans="1:9" s="78" customFormat="1" ht="14.25" customHeight="1">
      <c r="A158" s="292" t="s">
        <v>187</v>
      </c>
      <c r="B158" s="322" t="s">
        <v>621</v>
      </c>
      <c r="C158" s="322" t="s">
        <v>629</v>
      </c>
      <c r="D158" s="328" t="s">
        <v>396</v>
      </c>
      <c r="E158" s="331">
        <v>39583</v>
      </c>
      <c r="F158" s="145">
        <v>27190961</v>
      </c>
      <c r="G158" s="145">
        <v>27124041</v>
      </c>
      <c r="H158" s="145">
        <f t="shared" si="4"/>
        <v>66920</v>
      </c>
      <c r="I158" s="85">
        <v>0</v>
      </c>
    </row>
    <row r="159" spans="1:9" s="78" customFormat="1" ht="14.25" customHeight="1">
      <c r="A159" s="292" t="s">
        <v>188</v>
      </c>
      <c r="B159" s="322" t="s">
        <v>630</v>
      </c>
      <c r="C159" s="327" t="s">
        <v>641</v>
      </c>
      <c r="D159" s="328" t="s">
        <v>397</v>
      </c>
      <c r="E159" s="331">
        <v>39767</v>
      </c>
      <c r="F159" s="145">
        <v>25083125</v>
      </c>
      <c r="G159" s="145">
        <v>24950333</v>
      </c>
      <c r="H159" s="145">
        <f t="shared" si="4"/>
        <v>132792</v>
      </c>
      <c r="I159" s="85">
        <v>0</v>
      </c>
    </row>
    <row r="160" spans="1:9" s="78" customFormat="1" ht="14.25" customHeight="1">
      <c r="A160" s="292" t="s">
        <v>189</v>
      </c>
      <c r="B160" s="322" t="s">
        <v>609</v>
      </c>
      <c r="C160" s="327" t="s">
        <v>598</v>
      </c>
      <c r="D160" s="324" t="s">
        <v>8</v>
      </c>
      <c r="E160" s="331">
        <v>39948</v>
      </c>
      <c r="F160" s="145">
        <v>14794790</v>
      </c>
      <c r="G160" s="145">
        <v>14731490</v>
      </c>
      <c r="H160" s="145">
        <f t="shared" si="4"/>
        <v>63300</v>
      </c>
      <c r="I160" s="85">
        <v>4000</v>
      </c>
    </row>
    <row r="161" spans="1:9" s="78" customFormat="1" ht="14.25" customHeight="1">
      <c r="A161" s="292" t="s">
        <v>190</v>
      </c>
      <c r="B161" s="322" t="s">
        <v>621</v>
      </c>
      <c r="C161" s="327">
        <v>6</v>
      </c>
      <c r="D161" s="324" t="s">
        <v>155</v>
      </c>
      <c r="E161" s="331">
        <v>40040</v>
      </c>
      <c r="F161" s="145">
        <v>27399894</v>
      </c>
      <c r="G161" s="145">
        <v>26861781</v>
      </c>
      <c r="H161" s="145">
        <f t="shared" si="4"/>
        <v>538113</v>
      </c>
      <c r="I161" s="85">
        <v>0</v>
      </c>
    </row>
    <row r="162" spans="1:9" s="78" customFormat="1" ht="14.25" customHeight="1">
      <c r="A162" s="292" t="s">
        <v>191</v>
      </c>
      <c r="B162" s="322" t="s">
        <v>609</v>
      </c>
      <c r="C162" s="322" t="s">
        <v>607</v>
      </c>
      <c r="D162" s="324" t="s">
        <v>307</v>
      </c>
      <c r="E162" s="331">
        <v>40224</v>
      </c>
      <c r="F162" s="145">
        <v>23355709</v>
      </c>
      <c r="G162" s="145">
        <v>23352309</v>
      </c>
      <c r="H162" s="145">
        <f t="shared" si="4"/>
        <v>3400</v>
      </c>
      <c r="I162" s="85">
        <v>0</v>
      </c>
    </row>
    <row r="163" spans="1:9" s="78" customFormat="1" ht="14.25" customHeight="1">
      <c r="A163" s="292" t="s">
        <v>192</v>
      </c>
      <c r="B163" s="322" t="s">
        <v>621</v>
      </c>
      <c r="C163" s="327" t="s">
        <v>586</v>
      </c>
      <c r="D163" s="324" t="s">
        <v>782</v>
      </c>
      <c r="E163" s="331">
        <v>40405</v>
      </c>
      <c r="F163" s="145">
        <v>22437594</v>
      </c>
      <c r="G163" s="145">
        <v>22437094</v>
      </c>
      <c r="H163" s="145">
        <f t="shared" si="4"/>
        <v>500</v>
      </c>
      <c r="I163" s="85">
        <v>0</v>
      </c>
    </row>
    <row r="164" spans="1:9" s="78" customFormat="1" ht="14.25" customHeight="1">
      <c r="A164" s="292" t="s">
        <v>158</v>
      </c>
      <c r="B164" s="322" t="s">
        <v>609</v>
      </c>
      <c r="C164" s="327">
        <v>5</v>
      </c>
      <c r="D164" s="324" t="s">
        <v>23</v>
      </c>
      <c r="E164" s="331">
        <v>40589</v>
      </c>
      <c r="F164" s="145">
        <v>23436329</v>
      </c>
      <c r="G164" s="145">
        <v>23427289</v>
      </c>
      <c r="H164" s="145">
        <f t="shared" si="4"/>
        <v>9040</v>
      </c>
      <c r="I164" s="85">
        <v>0</v>
      </c>
    </row>
    <row r="165" spans="1:9" s="78" customFormat="1" ht="14.25" customHeight="1">
      <c r="A165" s="323" t="s">
        <v>64</v>
      </c>
      <c r="B165" s="322" t="s">
        <v>621</v>
      </c>
      <c r="C165" s="327">
        <v>5</v>
      </c>
      <c r="D165" s="324" t="s">
        <v>65</v>
      </c>
      <c r="E165" s="331">
        <v>40770</v>
      </c>
      <c r="F165" s="145">
        <v>26635316</v>
      </c>
      <c r="G165" s="145">
        <v>26628096</v>
      </c>
      <c r="H165" s="145">
        <f t="shared" si="4"/>
        <v>7220</v>
      </c>
      <c r="I165" s="85">
        <v>0</v>
      </c>
    </row>
    <row r="166" spans="1:9" s="78" customFormat="1" ht="14.25" customHeight="1">
      <c r="A166" s="323" t="s">
        <v>136</v>
      </c>
      <c r="B166" s="322" t="s">
        <v>609</v>
      </c>
      <c r="C166" s="327" t="s">
        <v>137</v>
      </c>
      <c r="D166" s="324" t="s">
        <v>138</v>
      </c>
      <c r="E166" s="331">
        <v>40954</v>
      </c>
      <c r="F166" s="145">
        <v>24779838</v>
      </c>
      <c r="G166" s="145">
        <v>24772238</v>
      </c>
      <c r="H166" s="145">
        <f>SUM(F166-G166)</f>
        <v>7600</v>
      </c>
      <c r="I166" s="85">
        <v>0</v>
      </c>
    </row>
    <row r="167" spans="1:9" s="78" customFormat="1" ht="14.25" customHeight="1">
      <c r="A167" s="323" t="s">
        <v>824</v>
      </c>
      <c r="B167" s="322" t="s">
        <v>630</v>
      </c>
      <c r="C167" s="327" t="s">
        <v>860</v>
      </c>
      <c r="D167" s="324" t="s">
        <v>825</v>
      </c>
      <c r="E167" s="331">
        <v>41136</v>
      </c>
      <c r="F167" s="145">
        <v>19647976</v>
      </c>
      <c r="G167" s="145">
        <v>19647976</v>
      </c>
      <c r="H167" s="145">
        <f>SUM(F167-G167)</f>
        <v>0</v>
      </c>
      <c r="I167" s="85">
        <v>0</v>
      </c>
    </row>
    <row r="168" spans="1:9" s="78" customFormat="1" ht="14.25" customHeight="1">
      <c r="A168" s="323" t="s">
        <v>57</v>
      </c>
      <c r="B168" s="322" t="s">
        <v>587</v>
      </c>
      <c r="C168" s="327">
        <v>4</v>
      </c>
      <c r="D168" s="324" t="s">
        <v>60</v>
      </c>
      <c r="E168" s="331">
        <v>41228</v>
      </c>
      <c r="F168" s="145">
        <v>18112742</v>
      </c>
      <c r="G168" s="145">
        <v>18112542</v>
      </c>
      <c r="H168" s="145">
        <f>SUM(F168-G168)</f>
        <v>200</v>
      </c>
      <c r="I168" s="85">
        <v>0</v>
      </c>
    </row>
    <row r="169" spans="1:9" s="78" customFormat="1" ht="14.25" customHeight="1">
      <c r="A169" s="292"/>
      <c r="B169" s="322"/>
      <c r="C169" s="327"/>
      <c r="D169" s="328"/>
      <c r="E169" s="337"/>
      <c r="F169" s="407"/>
      <c r="G169" s="145"/>
      <c r="H169" s="145"/>
      <c r="I169" s="85"/>
    </row>
    <row r="170" spans="1:9" s="78" customFormat="1" ht="14.25" customHeight="1">
      <c r="A170" s="299" t="s">
        <v>477</v>
      </c>
      <c r="B170" s="322"/>
      <c r="C170" s="327"/>
      <c r="D170" s="324" t="s">
        <v>528</v>
      </c>
      <c r="E170" s="337"/>
      <c r="F170" s="145">
        <f>SUM(F98:F169)</f>
        <v>1586116053</v>
      </c>
      <c r="G170" s="145">
        <f>SUM(G98:G169)</f>
        <v>1563963067</v>
      </c>
      <c r="H170" s="145">
        <f>SUM(H98:H169)</f>
        <v>22152986</v>
      </c>
      <c r="I170" s="85">
        <f>SUM(I98:I169)</f>
        <v>1571369</v>
      </c>
    </row>
    <row r="171" spans="1:9" s="78" customFormat="1" ht="15.75" customHeight="1">
      <c r="A171" s="299"/>
      <c r="B171" s="322"/>
      <c r="C171" s="327"/>
      <c r="D171" s="82"/>
      <c r="E171" s="348"/>
      <c r="F171" s="145"/>
      <c r="G171" s="145"/>
      <c r="H171" s="145"/>
      <c r="I171" s="85"/>
    </row>
    <row r="172" spans="1:10" s="78" customFormat="1" ht="16.5" customHeight="1" thickBot="1">
      <c r="A172" s="349" t="s">
        <v>401</v>
      </c>
      <c r="B172" s="350"/>
      <c r="C172" s="350"/>
      <c r="D172" s="350"/>
      <c r="E172" s="350"/>
      <c r="F172" s="147">
        <f>SUM(+F64+F170+F76+F84)</f>
        <v>2238917742</v>
      </c>
      <c r="G172" s="147">
        <f>SUM(+G64+G170+G76+G84)</f>
        <v>2067937832</v>
      </c>
      <c r="H172" s="147">
        <f>SUM(+H64+H170+H76+H84)</f>
        <v>170979910</v>
      </c>
      <c r="I172" s="147">
        <f>SUM(+I64+I170+I76+I84)</f>
        <v>13548419</v>
      </c>
      <c r="J172" s="351"/>
    </row>
    <row r="173" spans="1:10" s="78" customFormat="1" ht="16.5" customHeight="1" thickTop="1">
      <c r="A173" s="352"/>
      <c r="B173" s="185"/>
      <c r="C173" s="185"/>
      <c r="D173" s="185"/>
      <c r="E173" s="185"/>
      <c r="F173" s="185"/>
      <c r="G173" s="185"/>
      <c r="H173" s="185"/>
      <c r="I173" s="185"/>
      <c r="J173" s="306"/>
    </row>
    <row r="174" spans="1:10" s="78" customFormat="1" ht="16.5" customHeight="1">
      <c r="A174" s="352"/>
      <c r="B174" s="185"/>
      <c r="C174" s="185"/>
      <c r="D174" s="185"/>
      <c r="E174" s="185"/>
      <c r="F174" s="185"/>
      <c r="G174" s="185"/>
      <c r="H174" s="185"/>
      <c r="I174" s="185"/>
      <c r="J174" s="306"/>
    </row>
    <row r="175" spans="1:10" s="78" customFormat="1" ht="16.5" customHeight="1">
      <c r="A175" s="352"/>
      <c r="B175" s="185"/>
      <c r="C175" s="185"/>
      <c r="D175" s="185"/>
      <c r="E175" s="185"/>
      <c r="F175" s="185"/>
      <c r="G175" s="185"/>
      <c r="H175" s="185"/>
      <c r="I175" s="185"/>
      <c r="J175" s="306"/>
    </row>
    <row r="176" spans="1:10" s="78" customFormat="1" ht="16.5" customHeight="1">
      <c r="A176" s="352"/>
      <c r="B176" s="185"/>
      <c r="C176" s="185"/>
      <c r="D176" s="185"/>
      <c r="E176" s="185"/>
      <c r="F176" s="185"/>
      <c r="G176" s="185"/>
      <c r="H176" s="185"/>
      <c r="I176" s="185"/>
      <c r="J176" s="306"/>
    </row>
    <row r="177" spans="1:10" s="78" customFormat="1" ht="16.5" customHeight="1">
      <c r="A177" s="352"/>
      <c r="B177" s="185"/>
      <c r="C177" s="185"/>
      <c r="D177" s="185"/>
      <c r="E177" s="185"/>
      <c r="F177" s="185"/>
      <c r="G177" s="185"/>
      <c r="H177" s="185"/>
      <c r="I177" s="185"/>
      <c r="J177" s="306"/>
    </row>
    <row r="178" spans="1:10" s="78" customFormat="1" ht="16.5" customHeight="1">
      <c r="A178" s="352"/>
      <c r="B178" s="185"/>
      <c r="C178" s="185"/>
      <c r="D178" s="185"/>
      <c r="E178" s="185"/>
      <c r="F178" s="185"/>
      <c r="G178" s="185"/>
      <c r="H178" s="185"/>
      <c r="I178" s="185"/>
      <c r="J178" s="306"/>
    </row>
    <row r="179" spans="1:10" s="78" customFormat="1" ht="16.5" customHeight="1">
      <c r="A179" s="352"/>
      <c r="B179" s="185"/>
      <c r="C179" s="185"/>
      <c r="D179" s="185"/>
      <c r="E179" s="185"/>
      <c r="F179" s="185"/>
      <c r="G179" s="185"/>
      <c r="H179" s="185"/>
      <c r="I179" s="185"/>
      <c r="J179" s="306"/>
    </row>
    <row r="180" spans="1:10" s="78" customFormat="1" ht="16.5" customHeight="1">
      <c r="A180" s="352"/>
      <c r="B180" s="185"/>
      <c r="C180" s="185"/>
      <c r="D180" s="185"/>
      <c r="E180" s="185"/>
      <c r="F180" s="185"/>
      <c r="G180" s="185"/>
      <c r="H180" s="185"/>
      <c r="I180" s="185"/>
      <c r="J180" s="306"/>
    </row>
    <row r="181" spans="1:16" s="78" customFormat="1" ht="15.75" customHeight="1" thickBot="1">
      <c r="A181" s="111"/>
      <c r="B181" s="111"/>
      <c r="C181" s="111"/>
      <c r="D181" s="111"/>
      <c r="E181" s="111"/>
      <c r="F181" s="353"/>
      <c r="G181" s="354"/>
      <c r="H181" s="354"/>
      <c r="I181" s="355"/>
      <c r="J181" s="356"/>
      <c r="K181" s="181"/>
      <c r="L181" s="240"/>
      <c r="M181" s="181"/>
      <c r="N181" s="240"/>
      <c r="O181" s="181"/>
      <c r="P181" s="181"/>
    </row>
    <row r="182" spans="1:10" s="78" customFormat="1" ht="16.5" customHeight="1" thickTop="1">
      <c r="A182" s="352"/>
      <c r="B182" s="185"/>
      <c r="C182" s="185"/>
      <c r="D182" s="185"/>
      <c r="E182" s="185"/>
      <c r="F182" s="185"/>
      <c r="G182" s="185"/>
      <c r="H182" s="185"/>
      <c r="I182" s="185"/>
      <c r="J182" s="306"/>
    </row>
    <row r="183" s="78" customFormat="1" ht="14.25" customHeight="1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47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81"/>
  <sheetViews>
    <sheetView showGridLines="0" view="pageBreakPreview" zoomScale="75" zoomScaleNormal="72" zoomScaleSheetLayoutView="75" workbookViewId="0" topLeftCell="C53">
      <selection activeCell="C64" sqref="A64:IV64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8" customFormat="1" ht="15.75">
      <c r="A1" s="75">
        <v>12</v>
      </c>
      <c r="B1" s="76" t="s">
        <v>546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8" customFormat="1" ht="15">
      <c r="B2" s="357"/>
    </row>
    <row r="3" spans="1:2" s="78" customFormat="1" ht="16.5" customHeight="1">
      <c r="A3" s="323" t="s">
        <v>402</v>
      </c>
      <c r="B3" s="143" t="s">
        <v>306</v>
      </c>
    </row>
    <row r="4" spans="1:3" s="78" customFormat="1" ht="16.5" customHeight="1">
      <c r="A4" s="64">
        <v>1</v>
      </c>
      <c r="B4" s="143" t="s">
        <v>767</v>
      </c>
      <c r="C4" s="303"/>
    </row>
    <row r="5" spans="1:3" s="78" customFormat="1" ht="16.5" customHeight="1">
      <c r="A5" s="64"/>
      <c r="B5" s="143" t="s">
        <v>766</v>
      </c>
      <c r="C5" s="303"/>
    </row>
    <row r="6" spans="1:3" s="78" customFormat="1" ht="16.5" customHeight="1">
      <c r="A6" s="64">
        <v>2</v>
      </c>
      <c r="B6" s="143" t="s">
        <v>403</v>
      </c>
      <c r="C6" s="303"/>
    </row>
    <row r="7" spans="1:3" s="78" customFormat="1" ht="16.5" customHeight="1">
      <c r="A7" s="64">
        <v>3</v>
      </c>
      <c r="B7" s="143" t="s">
        <v>769</v>
      </c>
      <c r="C7" s="303"/>
    </row>
    <row r="8" spans="1:3" s="78" customFormat="1" ht="16.5" customHeight="1">
      <c r="A8" s="64">
        <v>4</v>
      </c>
      <c r="B8" s="143" t="s">
        <v>768</v>
      </c>
      <c r="C8" s="303"/>
    </row>
    <row r="9" spans="1:3" s="78" customFormat="1" ht="16.5" customHeight="1">
      <c r="A9" s="64">
        <v>5</v>
      </c>
      <c r="B9" s="143" t="s">
        <v>410</v>
      </c>
      <c r="C9" s="303"/>
    </row>
    <row r="10" spans="1:3" s="78" customFormat="1" ht="16.5" customHeight="1">
      <c r="A10" s="64"/>
      <c r="B10" s="143" t="s">
        <v>98</v>
      </c>
      <c r="C10" s="303"/>
    </row>
    <row r="11" spans="1:3" s="78" customFormat="1" ht="16.5" customHeight="1">
      <c r="A11" s="64"/>
      <c r="B11" s="143" t="s">
        <v>550</v>
      </c>
      <c r="C11" s="303"/>
    </row>
    <row r="12" spans="1:2" s="78" customFormat="1" ht="16.5" customHeight="1">
      <c r="A12" s="64">
        <v>6</v>
      </c>
      <c r="B12" s="143" t="s">
        <v>411</v>
      </c>
    </row>
    <row r="13" spans="1:2" s="78" customFormat="1" ht="16.5" customHeight="1">
      <c r="A13" s="64">
        <v>7</v>
      </c>
      <c r="B13" s="143" t="s">
        <v>667</v>
      </c>
    </row>
    <row r="14" spans="1:2" s="78" customFormat="1" ht="16.5" customHeight="1">
      <c r="A14" s="64">
        <v>8</v>
      </c>
      <c r="B14" s="143" t="s">
        <v>412</v>
      </c>
    </row>
    <row r="15" spans="1:2" s="78" customFormat="1" ht="16.5" customHeight="1">
      <c r="A15" s="64">
        <v>9</v>
      </c>
      <c r="B15" s="143" t="s">
        <v>413</v>
      </c>
    </row>
    <row r="16" spans="1:2" s="78" customFormat="1" ht="16.5" customHeight="1">
      <c r="A16" s="64">
        <v>10</v>
      </c>
      <c r="B16" s="143" t="s">
        <v>417</v>
      </c>
    </row>
    <row r="17" spans="1:2" s="78" customFormat="1" ht="16.5" customHeight="1">
      <c r="A17" s="64"/>
      <c r="B17" s="143" t="s">
        <v>418</v>
      </c>
    </row>
    <row r="18" spans="1:2" s="78" customFormat="1" ht="16.5" customHeight="1">
      <c r="A18" s="64">
        <v>11</v>
      </c>
      <c r="B18" s="143" t="s">
        <v>419</v>
      </c>
    </row>
    <row r="19" spans="1:2" s="78" customFormat="1" ht="16.5" customHeight="1">
      <c r="A19" s="64">
        <v>12</v>
      </c>
      <c r="B19" s="143" t="s">
        <v>420</v>
      </c>
    </row>
    <row r="20" spans="1:2" s="78" customFormat="1" ht="16.5" customHeight="1">
      <c r="A20" s="64"/>
      <c r="B20" s="143" t="s">
        <v>422</v>
      </c>
    </row>
    <row r="21" spans="1:2" s="78" customFormat="1" ht="16.5" customHeight="1">
      <c r="A21" s="64">
        <v>13</v>
      </c>
      <c r="B21" s="143" t="s">
        <v>423</v>
      </c>
    </row>
    <row r="22" spans="1:2" s="78" customFormat="1" ht="16.5" customHeight="1">
      <c r="A22" s="64"/>
      <c r="B22" s="143" t="s">
        <v>424</v>
      </c>
    </row>
    <row r="23" spans="1:2" s="78" customFormat="1" ht="16.5" customHeight="1">
      <c r="A23" s="64">
        <v>14</v>
      </c>
      <c r="B23" s="143" t="s">
        <v>425</v>
      </c>
    </row>
    <row r="24" spans="1:2" s="78" customFormat="1" ht="16.5" customHeight="1">
      <c r="A24" s="64"/>
      <c r="B24" s="143" t="s">
        <v>426</v>
      </c>
    </row>
    <row r="25" spans="1:2" s="78" customFormat="1" ht="16.5" customHeight="1">
      <c r="A25" s="64">
        <v>15</v>
      </c>
      <c r="B25" s="143" t="s">
        <v>427</v>
      </c>
    </row>
    <row r="26" spans="1:2" s="78" customFormat="1" ht="16.5" customHeight="1">
      <c r="A26" s="64"/>
      <c r="B26" s="143" t="s">
        <v>428</v>
      </c>
    </row>
    <row r="27" spans="1:2" s="78" customFormat="1" ht="16.5" customHeight="1">
      <c r="A27" s="64">
        <v>16</v>
      </c>
      <c r="B27" s="143" t="s">
        <v>429</v>
      </c>
    </row>
    <row r="28" spans="1:2" s="78" customFormat="1" ht="16.5" customHeight="1">
      <c r="A28" s="64">
        <v>17</v>
      </c>
      <c r="B28" s="143" t="s">
        <v>50</v>
      </c>
    </row>
    <row r="29" spans="1:2" s="78" customFormat="1" ht="16.5" customHeight="1">
      <c r="A29" s="64"/>
      <c r="B29" s="143"/>
    </row>
    <row r="30" spans="1:2" s="78" customFormat="1" ht="16.5" customHeight="1">
      <c r="A30" s="64"/>
      <c r="B30" s="143"/>
    </row>
    <row r="31" spans="1:2" s="78" customFormat="1" ht="16.5" customHeight="1">
      <c r="A31" s="64"/>
      <c r="B31" s="143"/>
    </row>
    <row r="32" spans="1:2" s="78" customFormat="1" ht="16.5" customHeight="1">
      <c r="A32" s="143" t="s">
        <v>430</v>
      </c>
      <c r="B32" s="357"/>
    </row>
    <row r="33" s="78" customFormat="1" ht="16.5" customHeight="1">
      <c r="B33" s="143" t="s">
        <v>431</v>
      </c>
    </row>
    <row r="34" s="78" customFormat="1" ht="16.5" customHeight="1">
      <c r="B34" s="143" t="s">
        <v>432</v>
      </c>
    </row>
    <row r="35" s="78" customFormat="1" ht="16.5" customHeight="1">
      <c r="B35" s="143"/>
    </row>
    <row r="36" s="78" customFormat="1" ht="16.5" customHeight="1">
      <c r="B36" s="143"/>
    </row>
    <row r="37" spans="1:7" s="78" customFormat="1" ht="14.25" customHeight="1">
      <c r="A37" s="358" t="s">
        <v>124</v>
      </c>
      <c r="B37" s="359"/>
      <c r="C37" s="125"/>
      <c r="D37" s="125"/>
      <c r="E37" s="125"/>
      <c r="F37" s="125"/>
      <c r="G37" s="125"/>
    </row>
    <row r="38" spans="1:7" s="78" customFormat="1" ht="14.25" customHeight="1">
      <c r="A38" s="358"/>
      <c r="B38" s="360"/>
      <c r="C38" s="300"/>
      <c r="D38" s="300"/>
      <c r="E38" s="300"/>
      <c r="F38" s="300"/>
      <c r="G38" s="300"/>
    </row>
    <row r="39" spans="1:7" s="78" customFormat="1" ht="14.25" customHeight="1">
      <c r="A39" s="149"/>
      <c r="B39" s="150" t="s">
        <v>294</v>
      </c>
      <c r="C39" s="151" t="s">
        <v>867</v>
      </c>
      <c r="D39" s="361"/>
      <c r="E39" s="151" t="s">
        <v>868</v>
      </c>
      <c r="F39" s="151"/>
      <c r="G39" s="361"/>
    </row>
    <row r="40" spans="1:7" s="78" customFormat="1" ht="14.25" customHeight="1">
      <c r="A40" s="362"/>
      <c r="B40" s="152">
        <v>236268.24</v>
      </c>
      <c r="C40" s="363">
        <v>509383.08</v>
      </c>
      <c r="D40" s="364"/>
      <c r="E40" s="363">
        <v>744675.06</v>
      </c>
      <c r="F40" s="365"/>
      <c r="G40" s="364"/>
    </row>
    <row r="41" spans="1:2" s="78" customFormat="1" ht="14.25" customHeight="1">
      <c r="A41" s="366"/>
      <c r="B41" s="153" t="s">
        <v>752</v>
      </c>
    </row>
    <row r="42" spans="1:7" s="78" customFormat="1" ht="14.25" customHeight="1">
      <c r="A42" s="366"/>
      <c r="B42" s="367"/>
      <c r="C42" s="366"/>
      <c r="D42" s="366"/>
      <c r="E42" s="366"/>
      <c r="F42" s="77"/>
      <c r="G42" s="366"/>
    </row>
    <row r="43" spans="1:7" s="78" customFormat="1" ht="16.5" customHeight="1">
      <c r="A43" s="366"/>
      <c r="B43" s="367"/>
      <c r="C43" s="366"/>
      <c r="D43" s="366"/>
      <c r="E43" s="366"/>
      <c r="F43" s="77"/>
      <c r="G43" s="366"/>
    </row>
    <row r="44" spans="1:2" s="78" customFormat="1" ht="16.5" customHeight="1">
      <c r="A44" s="143" t="s">
        <v>556</v>
      </c>
      <c r="B44" s="357"/>
    </row>
    <row r="45" spans="1:2" s="78" customFormat="1" ht="16.5" customHeight="1">
      <c r="A45" s="74" t="s">
        <v>573</v>
      </c>
      <c r="B45" s="143" t="s">
        <v>691</v>
      </c>
    </row>
    <row r="46" spans="1:2" s="78" customFormat="1" ht="16.5" customHeight="1">
      <c r="A46" s="74"/>
      <c r="B46" s="143" t="s">
        <v>514</v>
      </c>
    </row>
    <row r="47" spans="1:2" s="78" customFormat="1" ht="16.5" customHeight="1">
      <c r="A47" s="74" t="s">
        <v>445</v>
      </c>
      <c r="B47" s="143" t="s">
        <v>692</v>
      </c>
    </row>
    <row r="48" spans="1:2" s="78" customFormat="1" ht="16.5" customHeight="1">
      <c r="A48" s="74"/>
      <c r="B48" s="143" t="s">
        <v>515</v>
      </c>
    </row>
    <row r="49" spans="1:2" s="78" customFormat="1" ht="16.5" customHeight="1">
      <c r="A49" s="303"/>
      <c r="B49" s="357"/>
    </row>
    <row r="50" s="78" customFormat="1" ht="16.5" customHeight="1">
      <c r="B50" s="357"/>
    </row>
    <row r="51" spans="1:2" s="78" customFormat="1" ht="16.5" customHeight="1">
      <c r="A51" s="143" t="s">
        <v>447</v>
      </c>
      <c r="B51" s="357"/>
    </row>
    <row r="52" spans="1:2" s="78" customFormat="1" ht="16.5" customHeight="1">
      <c r="A52" s="74" t="s">
        <v>448</v>
      </c>
      <c r="B52" s="143" t="s">
        <v>446</v>
      </c>
    </row>
    <row r="53" spans="1:2" s="78" customFormat="1" ht="16.5" customHeight="1">
      <c r="A53" s="74" t="s">
        <v>683</v>
      </c>
      <c r="B53" s="143" t="s">
        <v>449</v>
      </c>
    </row>
    <row r="54" spans="1:2" s="78" customFormat="1" ht="16.5" customHeight="1">
      <c r="A54" s="74"/>
      <c r="B54" s="143" t="s">
        <v>457</v>
      </c>
    </row>
    <row r="55" spans="1:2" s="78" customFormat="1" ht="16.5" customHeight="1">
      <c r="A55" s="74"/>
      <c r="B55" s="143" t="s">
        <v>458</v>
      </c>
    </row>
    <row r="56" spans="1:2" s="78" customFormat="1" ht="17.25" customHeight="1">
      <c r="A56" s="74"/>
      <c r="B56" s="143" t="s">
        <v>459</v>
      </c>
    </row>
    <row r="57" spans="1:2" s="78" customFormat="1" ht="18">
      <c r="A57" s="74" t="s">
        <v>464</v>
      </c>
      <c r="B57" s="143" t="s">
        <v>463</v>
      </c>
    </row>
    <row r="58" spans="1:2" s="78" customFormat="1" ht="18">
      <c r="A58" s="74" t="s">
        <v>557</v>
      </c>
      <c r="B58" s="143" t="s">
        <v>520</v>
      </c>
    </row>
    <row r="59" spans="1:2" s="78" customFormat="1" ht="15">
      <c r="A59" s="303"/>
      <c r="B59" s="78" t="s">
        <v>521</v>
      </c>
    </row>
    <row r="60" s="78" customFormat="1" ht="15">
      <c r="A60" s="303"/>
    </row>
    <row r="61" s="78" customFormat="1" ht="15">
      <c r="A61" s="303"/>
    </row>
    <row r="62" s="78" customFormat="1" ht="15">
      <c r="A62" s="303"/>
    </row>
    <row r="63" s="78" customFormat="1" ht="15">
      <c r="A63" s="303"/>
    </row>
    <row r="64" s="78" customFormat="1" ht="15">
      <c r="A64" s="303"/>
    </row>
    <row r="65" s="78" customFormat="1" ht="15">
      <c r="A65" s="303"/>
    </row>
    <row r="66" s="78" customFormat="1" ht="15">
      <c r="A66" s="303"/>
    </row>
    <row r="67" s="78" customFormat="1" ht="15">
      <c r="A67" s="303"/>
    </row>
    <row r="68" s="78" customFormat="1" ht="15">
      <c r="A68" s="303"/>
    </row>
    <row r="69" spans="1:2" s="78" customFormat="1" ht="15">
      <c r="A69" s="303"/>
      <c r="B69" s="357"/>
    </row>
    <row r="70" spans="1:2" s="78" customFormat="1" ht="15">
      <c r="A70" s="303"/>
      <c r="B70" s="357"/>
    </row>
    <row r="71" spans="1:2" s="78" customFormat="1" ht="15">
      <c r="A71" s="303"/>
      <c r="B71" s="357"/>
    </row>
    <row r="72" spans="1:2" s="78" customFormat="1" ht="15">
      <c r="A72" s="303"/>
      <c r="B72" s="357"/>
    </row>
    <row r="73" spans="1:13" s="78" customFormat="1" ht="15">
      <c r="A73" s="368"/>
      <c r="B73" s="368"/>
      <c r="C73" s="368"/>
      <c r="D73" s="300"/>
      <c r="E73" s="300"/>
      <c r="F73" s="300"/>
      <c r="G73" s="300"/>
      <c r="H73" s="300"/>
      <c r="I73" s="300"/>
      <c r="J73" s="300"/>
      <c r="K73" s="300"/>
      <c r="L73" s="300"/>
      <c r="M73" s="300"/>
    </row>
    <row r="74" spans="1:13" s="78" customFormat="1" ht="15">
      <c r="A74" s="77" t="s">
        <v>522</v>
      </c>
      <c r="B74" s="302"/>
      <c r="C74" s="302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78" customFormat="1" ht="15">
      <c r="A75" s="77" t="s">
        <v>523</v>
      </c>
      <c r="B75" s="302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s="78" customFormat="1" ht="15">
      <c r="A76" s="77" t="s">
        <v>483</v>
      </c>
      <c r="B76" s="302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s="78" customFormat="1" ht="15">
      <c r="A77" s="77"/>
      <c r="B77" s="302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="78" customFormat="1" ht="15">
      <c r="B78" s="357"/>
    </row>
    <row r="79" s="78" customFormat="1" ht="15">
      <c r="B79" s="357"/>
    </row>
    <row r="80" s="78" customFormat="1" ht="15">
      <c r="B80" s="357"/>
    </row>
    <row r="81" s="78" customFormat="1" ht="15">
      <c r="B81" s="357"/>
    </row>
    <row r="82" s="78" customFormat="1" ht="15"/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  <row r="439" s="78" customFormat="1" ht="15"/>
    <row r="440" s="78" customFormat="1" ht="15"/>
    <row r="441" s="78" customFormat="1" ht="15"/>
    <row r="442" s="78" customFormat="1" ht="15"/>
    <row r="443" s="78" customFormat="1" ht="15"/>
    <row r="444" s="78" customFormat="1" ht="15"/>
    <row r="445" s="78" customFormat="1" ht="15"/>
    <row r="446" s="78" customFormat="1" ht="15"/>
    <row r="447" s="78" customFormat="1" ht="15"/>
    <row r="448" s="78" customFormat="1" ht="15"/>
    <row r="449" s="78" customFormat="1" ht="15"/>
    <row r="450" s="78" customFormat="1" ht="15"/>
    <row r="451" s="78" customFormat="1" ht="15"/>
    <row r="452" s="78" customFormat="1" ht="15"/>
    <row r="453" s="78" customFormat="1" ht="15"/>
    <row r="454" s="78" customFormat="1" ht="15"/>
    <row r="455" s="78" customFormat="1" ht="15"/>
    <row r="456" s="78" customFormat="1" ht="15"/>
    <row r="457" s="78" customFormat="1" ht="15"/>
    <row r="458" s="78" customFormat="1" ht="15"/>
    <row r="459" s="78" customFormat="1" ht="15"/>
    <row r="460" s="78" customFormat="1" ht="15"/>
    <row r="461" s="78" customFormat="1" ht="15"/>
    <row r="462" s="78" customFormat="1" ht="15"/>
    <row r="463" s="78" customFormat="1" ht="15"/>
    <row r="464" s="78" customFormat="1" ht="15"/>
    <row r="465" s="78" customFormat="1" ht="15"/>
    <row r="466" s="78" customFormat="1" ht="15"/>
    <row r="467" s="78" customFormat="1" ht="15"/>
    <row r="468" s="78" customFormat="1" ht="15"/>
    <row r="469" s="78" customFormat="1" ht="15"/>
    <row r="470" s="78" customFormat="1" ht="15"/>
    <row r="471" s="78" customFormat="1" ht="15"/>
    <row r="472" s="78" customFormat="1" ht="15"/>
    <row r="473" s="78" customFormat="1" ht="15"/>
    <row r="474" s="78" customFormat="1" ht="15"/>
    <row r="475" s="78" customFormat="1" ht="15"/>
    <row r="476" s="78" customFormat="1" ht="15"/>
    <row r="477" s="78" customFormat="1" ht="15"/>
    <row r="478" s="78" customFormat="1" ht="15"/>
    <row r="479" s="78" customFormat="1" ht="15"/>
    <row r="480" s="78" customFormat="1" ht="15"/>
    <row r="481" s="78" customFormat="1" ht="15"/>
    <row r="482" s="78" customFormat="1" ht="15"/>
    <row r="483" s="78" customFormat="1" ht="15"/>
    <row r="484" s="78" customFormat="1" ht="15"/>
    <row r="485" s="78" customFormat="1" ht="15"/>
    <row r="486" s="78" customFormat="1" ht="15"/>
    <row r="487" s="78" customFormat="1" ht="15"/>
    <row r="488" s="78" customFormat="1" ht="15"/>
    <row r="489" s="78" customFormat="1" ht="15"/>
    <row r="490" s="78" customFormat="1" ht="15"/>
    <row r="491" s="78" customFormat="1" ht="15"/>
    <row r="492" s="78" customFormat="1" ht="15"/>
    <row r="493" s="78" customFormat="1" ht="15"/>
    <row r="494" s="78" customFormat="1" ht="15"/>
    <row r="495" s="78" customFormat="1" ht="15"/>
    <row r="496" s="78" customFormat="1" ht="15"/>
    <row r="497" s="78" customFormat="1" ht="15"/>
    <row r="498" s="78" customFormat="1" ht="15"/>
    <row r="499" s="78" customFormat="1" ht="15"/>
    <row r="500" s="78" customFormat="1" ht="15"/>
    <row r="501" s="78" customFormat="1" ht="15"/>
    <row r="502" s="78" customFormat="1" ht="15"/>
    <row r="503" s="78" customFormat="1" ht="15"/>
    <row r="504" s="78" customFormat="1" ht="15"/>
    <row r="505" s="78" customFormat="1" ht="15"/>
    <row r="506" s="78" customFormat="1" ht="15"/>
    <row r="507" s="78" customFormat="1" ht="15"/>
    <row r="508" s="78" customFormat="1" ht="15"/>
    <row r="509" s="78" customFormat="1" ht="15"/>
    <row r="510" s="78" customFormat="1" ht="15"/>
    <row r="511" s="78" customFormat="1" ht="15"/>
    <row r="512" s="78" customFormat="1" ht="15"/>
    <row r="513" s="78" customFormat="1" ht="15"/>
    <row r="514" s="78" customFormat="1" ht="15"/>
    <row r="515" s="78" customFormat="1" ht="15"/>
    <row r="516" s="78" customFormat="1" ht="15"/>
    <row r="517" s="78" customFormat="1" ht="15"/>
    <row r="518" s="78" customFormat="1" ht="15"/>
    <row r="519" s="78" customFormat="1" ht="15"/>
    <row r="520" s="78" customFormat="1" ht="15"/>
    <row r="521" s="78" customFormat="1" ht="15"/>
    <row r="522" s="78" customFormat="1" ht="15"/>
    <row r="523" s="78" customFormat="1" ht="15"/>
    <row r="524" s="78" customFormat="1" ht="15"/>
    <row r="525" s="78" customFormat="1" ht="15"/>
    <row r="526" s="78" customFormat="1" ht="15"/>
    <row r="527" s="78" customFormat="1" ht="15"/>
    <row r="528" s="78" customFormat="1" ht="15"/>
    <row r="529" s="78" customFormat="1" ht="15"/>
    <row r="530" s="78" customFormat="1" ht="15"/>
    <row r="531" s="78" customFormat="1" ht="15"/>
    <row r="532" s="78" customFormat="1" ht="15"/>
    <row r="533" s="78" customFormat="1" ht="15"/>
    <row r="534" s="78" customFormat="1" ht="15"/>
    <row r="535" s="78" customFormat="1" ht="15"/>
    <row r="536" s="78" customFormat="1" ht="15"/>
    <row r="537" s="78" customFormat="1" ht="15"/>
    <row r="538" s="78" customFormat="1" ht="15"/>
    <row r="539" s="78" customFormat="1" ht="15"/>
    <row r="540" s="78" customFormat="1" ht="15"/>
    <row r="541" s="78" customFormat="1" ht="15"/>
    <row r="542" s="78" customFormat="1" ht="15"/>
    <row r="543" s="78" customFormat="1" ht="15"/>
    <row r="544" s="78" customFormat="1" ht="15"/>
    <row r="545" s="78" customFormat="1" ht="15"/>
    <row r="546" s="78" customFormat="1" ht="15"/>
    <row r="547" s="78" customFormat="1" ht="15"/>
    <row r="548" s="78" customFormat="1" ht="15"/>
    <row r="549" s="78" customFormat="1" ht="15"/>
    <row r="550" s="78" customFormat="1" ht="15"/>
    <row r="551" s="78" customFormat="1" ht="15"/>
    <row r="552" s="78" customFormat="1" ht="15"/>
    <row r="553" s="78" customFormat="1" ht="15"/>
    <row r="554" s="78" customFormat="1" ht="15"/>
    <row r="555" s="78" customFormat="1" ht="15"/>
    <row r="556" s="78" customFormat="1" ht="15"/>
    <row r="557" s="78" customFormat="1" ht="15"/>
    <row r="558" s="78" customFormat="1" ht="15"/>
    <row r="559" s="78" customFormat="1" ht="15"/>
    <row r="560" s="78" customFormat="1" ht="15"/>
    <row r="561" s="78" customFormat="1" ht="15"/>
    <row r="562" s="78" customFormat="1" ht="15"/>
    <row r="563" s="78" customFormat="1" ht="15"/>
    <row r="564" s="78" customFormat="1" ht="15"/>
    <row r="565" s="78" customFormat="1" ht="15"/>
    <row r="566" s="78" customFormat="1" ht="15"/>
    <row r="567" s="78" customFormat="1" ht="15"/>
    <row r="568" s="78" customFormat="1" ht="15"/>
    <row r="569" s="78" customFormat="1" ht="15"/>
    <row r="570" s="78" customFormat="1" ht="15"/>
    <row r="571" s="78" customFormat="1" ht="15"/>
    <row r="572" s="78" customFormat="1" ht="15"/>
    <row r="573" s="78" customFormat="1" ht="15"/>
    <row r="574" s="78" customFormat="1" ht="15"/>
    <row r="575" s="78" customFormat="1" ht="15"/>
    <row r="576" s="78" customFormat="1" ht="15"/>
    <row r="577" s="78" customFormat="1" ht="15"/>
    <row r="578" s="78" customFormat="1" ht="15"/>
    <row r="579" s="78" customFormat="1" ht="15"/>
    <row r="580" s="78" customFormat="1" ht="15"/>
    <row r="581" s="78" customFormat="1" ht="15"/>
    <row r="582" s="78" customFormat="1" ht="15"/>
    <row r="583" s="78" customFormat="1" ht="15"/>
    <row r="584" s="78" customFormat="1" ht="15"/>
    <row r="585" s="78" customFormat="1" ht="15"/>
    <row r="586" s="78" customFormat="1" ht="15"/>
    <row r="587" s="78" customFormat="1" ht="15"/>
    <row r="588" s="78" customFormat="1" ht="15"/>
    <row r="589" s="78" customFormat="1" ht="15"/>
    <row r="590" s="78" customFormat="1" ht="15"/>
    <row r="591" s="78" customFormat="1" ht="15"/>
    <row r="592" s="78" customFormat="1" ht="15"/>
    <row r="593" s="78" customFormat="1" ht="15"/>
    <row r="594" s="78" customFormat="1" ht="15"/>
    <row r="595" s="78" customFormat="1" ht="15"/>
    <row r="596" s="78" customFormat="1" ht="15"/>
    <row r="597" s="78" customFormat="1" ht="15"/>
    <row r="598" s="78" customFormat="1" ht="15"/>
    <row r="599" s="78" customFormat="1" ht="15"/>
    <row r="600" s="78" customFormat="1" ht="15"/>
    <row r="601" s="78" customFormat="1" ht="15"/>
    <row r="602" s="78" customFormat="1" ht="15"/>
    <row r="603" s="78" customFormat="1" ht="15"/>
    <row r="604" s="78" customFormat="1" ht="15"/>
    <row r="605" s="78" customFormat="1" ht="15"/>
    <row r="606" s="78" customFormat="1" ht="15"/>
    <row r="607" s="78" customFormat="1" ht="15"/>
    <row r="608" s="78" customFormat="1" ht="15"/>
    <row r="609" s="78" customFormat="1" ht="15"/>
    <row r="610" s="78" customFormat="1" ht="15"/>
    <row r="611" s="78" customFormat="1" ht="15"/>
    <row r="612" s="78" customFormat="1" ht="15"/>
    <row r="613" s="78" customFormat="1" ht="15"/>
    <row r="614" s="78" customFormat="1" ht="15"/>
    <row r="615" s="78" customFormat="1" ht="15"/>
    <row r="616" s="78" customFormat="1" ht="15"/>
    <row r="617" s="78" customFormat="1" ht="15"/>
    <row r="618" s="78" customFormat="1" ht="15"/>
    <row r="619" s="78" customFormat="1" ht="15"/>
    <row r="620" s="78" customFormat="1" ht="15"/>
    <row r="621" s="78" customFormat="1" ht="15"/>
    <row r="622" s="78" customFormat="1" ht="15"/>
    <row r="623" s="78" customFormat="1" ht="15"/>
    <row r="624" s="78" customFormat="1" ht="15"/>
    <row r="625" s="78" customFormat="1" ht="15"/>
    <row r="626" s="78" customFormat="1" ht="15"/>
    <row r="627" s="78" customFormat="1" ht="15"/>
    <row r="628" s="78" customFormat="1" ht="15"/>
    <row r="629" s="78" customFormat="1" ht="15"/>
    <row r="630" s="78" customFormat="1" ht="15"/>
    <row r="631" s="78" customFormat="1" ht="15"/>
    <row r="632" s="78" customFormat="1" ht="15"/>
    <row r="633" s="78" customFormat="1" ht="15"/>
    <row r="634" s="78" customFormat="1" ht="15"/>
    <row r="635" s="78" customFormat="1" ht="15"/>
    <row r="636" s="78" customFormat="1" ht="15"/>
    <row r="637" s="78" customFormat="1" ht="15"/>
    <row r="638" s="78" customFormat="1" ht="15"/>
    <row r="639" s="78" customFormat="1" ht="15"/>
    <row r="640" s="78" customFormat="1" ht="15"/>
    <row r="641" s="78" customFormat="1" ht="15"/>
    <row r="642" s="78" customFormat="1" ht="15"/>
    <row r="643" s="78" customFormat="1" ht="15"/>
    <row r="644" s="78" customFormat="1" ht="15"/>
    <row r="645" s="78" customFormat="1" ht="15"/>
    <row r="646" s="78" customFormat="1" ht="15"/>
    <row r="647" s="78" customFormat="1" ht="15"/>
    <row r="648" s="78" customFormat="1" ht="15"/>
    <row r="649" s="78" customFormat="1" ht="15"/>
    <row r="650" s="78" customFormat="1" ht="15"/>
    <row r="651" s="78" customFormat="1" ht="15"/>
    <row r="652" s="78" customFormat="1" ht="15"/>
    <row r="653" s="78" customFormat="1" ht="15"/>
    <row r="654" s="78" customFormat="1" ht="15"/>
    <row r="655" s="78" customFormat="1" ht="15"/>
    <row r="656" s="78" customFormat="1" ht="15"/>
    <row r="657" s="78" customFormat="1" ht="15"/>
    <row r="658" s="78" customFormat="1" ht="15"/>
    <row r="659" s="78" customFormat="1" ht="15"/>
    <row r="660" s="78" customFormat="1" ht="15"/>
    <row r="661" s="78" customFormat="1" ht="15"/>
    <row r="662" s="78" customFormat="1" ht="15"/>
    <row r="663" s="78" customFormat="1" ht="15"/>
    <row r="664" s="78" customFormat="1" ht="15"/>
    <row r="665" s="78" customFormat="1" ht="15"/>
    <row r="666" s="78" customFormat="1" ht="15"/>
    <row r="667" s="78" customFormat="1" ht="15"/>
    <row r="668" s="78" customFormat="1" ht="15"/>
    <row r="669" s="78" customFormat="1" ht="15"/>
    <row r="670" s="78" customFormat="1" ht="15"/>
    <row r="671" s="78" customFormat="1" ht="15"/>
    <row r="672" s="78" customFormat="1" ht="15"/>
    <row r="673" s="78" customFormat="1" ht="15"/>
    <row r="674" s="78" customFormat="1" ht="15"/>
    <row r="675" s="78" customFormat="1" ht="15"/>
    <row r="676" s="78" customFormat="1" ht="15"/>
    <row r="677" s="78" customFormat="1" ht="15"/>
    <row r="678" s="78" customFormat="1" ht="15"/>
    <row r="679" s="78" customFormat="1" ht="15"/>
    <row r="680" s="78" customFormat="1" ht="15"/>
    <row r="681" s="78" customFormat="1" ht="15"/>
    <row r="682" s="78" customFormat="1" ht="15"/>
    <row r="683" s="78" customFormat="1" ht="15"/>
    <row r="684" s="78" customFormat="1" ht="15"/>
    <row r="685" s="78" customFormat="1" ht="15"/>
    <row r="686" s="78" customFormat="1" ht="15"/>
    <row r="687" s="78" customFormat="1" ht="15"/>
    <row r="688" s="78" customFormat="1" ht="15"/>
    <row r="689" s="78" customFormat="1" ht="15"/>
    <row r="690" s="78" customFormat="1" ht="15"/>
    <row r="691" s="78" customFormat="1" ht="15"/>
    <row r="692" s="78" customFormat="1" ht="15"/>
    <row r="693" s="78" customFormat="1" ht="15"/>
    <row r="694" s="78" customFormat="1" ht="15"/>
    <row r="695" s="78" customFormat="1" ht="15"/>
    <row r="696" s="78" customFormat="1" ht="15"/>
    <row r="697" s="78" customFormat="1" ht="15"/>
    <row r="698" s="78" customFormat="1" ht="15"/>
    <row r="699" s="78" customFormat="1" ht="15"/>
    <row r="700" s="78" customFormat="1" ht="15"/>
    <row r="701" s="78" customFormat="1" ht="15"/>
    <row r="702" s="78" customFormat="1" ht="15"/>
    <row r="703" s="78" customFormat="1" ht="15"/>
    <row r="704" s="78" customFormat="1" ht="15"/>
    <row r="705" s="78" customFormat="1" ht="15"/>
    <row r="706" s="78" customFormat="1" ht="15"/>
    <row r="707" s="78" customFormat="1" ht="15"/>
    <row r="708" s="78" customFormat="1" ht="15"/>
    <row r="709" s="78" customFormat="1" ht="15"/>
    <row r="710" s="78" customFormat="1" ht="15"/>
    <row r="711" s="78" customFormat="1" ht="15"/>
    <row r="712" s="78" customFormat="1" ht="15"/>
    <row r="713" s="78" customFormat="1" ht="15"/>
    <row r="714" s="78" customFormat="1" ht="15"/>
    <row r="715" s="78" customFormat="1" ht="15"/>
    <row r="716" s="78" customFormat="1" ht="15"/>
    <row r="717" s="78" customFormat="1" ht="15"/>
    <row r="718" s="78" customFormat="1" ht="15"/>
    <row r="719" s="78" customFormat="1" ht="15"/>
    <row r="720" s="78" customFormat="1" ht="15"/>
    <row r="721" s="78" customFormat="1" ht="15"/>
    <row r="722" s="78" customFormat="1" ht="15"/>
    <row r="723" s="78" customFormat="1" ht="15"/>
    <row r="724" s="78" customFormat="1" ht="15"/>
    <row r="725" s="78" customFormat="1" ht="15"/>
    <row r="726" s="78" customFormat="1" ht="15"/>
    <row r="727" s="78" customFormat="1" ht="15"/>
    <row r="728" s="78" customFormat="1" ht="15"/>
    <row r="729" s="78" customFormat="1" ht="15"/>
    <row r="730" s="78" customFormat="1" ht="15"/>
    <row r="731" s="78" customFormat="1" ht="15"/>
    <row r="732" s="78" customFormat="1" ht="15"/>
    <row r="733" s="78" customFormat="1" ht="15"/>
    <row r="734" s="78" customFormat="1" ht="15"/>
    <row r="735" s="78" customFormat="1" ht="15"/>
    <row r="736" s="78" customFormat="1" ht="15"/>
    <row r="737" s="78" customFormat="1" ht="15"/>
    <row r="738" s="78" customFormat="1" ht="15"/>
    <row r="739" s="78" customFormat="1" ht="15"/>
    <row r="740" s="78" customFormat="1" ht="15"/>
    <row r="741" s="78" customFormat="1" ht="15"/>
    <row r="742" s="78" customFormat="1" ht="15"/>
    <row r="743" s="78" customFormat="1" ht="15"/>
    <row r="744" s="78" customFormat="1" ht="15"/>
  </sheetData>
  <printOptions horizontalCentered="1"/>
  <pageMargins left="0.5" right="0" top="0.6" bottom="0.25" header="0" footer="0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sclaypoo</cp:lastModifiedBy>
  <cp:lastPrinted>2003-02-06T14:26:53Z</cp:lastPrinted>
  <dcterms:created xsi:type="dcterms:W3CDTF">1998-12-22T15:47:59Z</dcterms:created>
  <dcterms:modified xsi:type="dcterms:W3CDTF">2003-02-06T14:31:54Z</dcterms:modified>
  <cp:category/>
  <cp:version/>
  <cp:contentType/>
  <cp:contentStatus/>
</cp:coreProperties>
</file>